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0" yWindow="0" windowWidth="4830" windowHeight="5190" tabRatio="759"/>
  </bookViews>
  <sheets>
    <sheet name="Solarstromanlage Schweiz" sheetId="25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A2" i="25" l="1"/>
  <c r="C5" i="25"/>
  <c r="C4" i="25" l="1"/>
  <c r="E18" i="25" l="1"/>
  <c r="F18" i="25" s="1"/>
  <c r="C10" i="25" l="1"/>
  <c r="F19" i="25"/>
  <c r="G19" i="25" s="1"/>
  <c r="I19" i="25" s="1"/>
  <c r="H7" i="25"/>
  <c r="H18" i="25" s="1"/>
  <c r="H24" i="25"/>
  <c r="I24" i="25" s="1"/>
  <c r="F31" i="25"/>
  <c r="G31" i="25" s="1"/>
  <c r="H31" i="25" s="1"/>
  <c r="I31" i="25" s="1"/>
  <c r="J31" i="25" s="1"/>
  <c r="K31" i="25" s="1"/>
  <c r="L31" i="25" s="1"/>
  <c r="M31" i="25" s="1"/>
  <c r="N31" i="25" s="1"/>
  <c r="O31" i="25" s="1"/>
  <c r="P31" i="25" s="1"/>
  <c r="Q31" i="25" s="1"/>
  <c r="R31" i="25" s="1"/>
  <c r="S31" i="25" s="1"/>
  <c r="T31" i="25" s="1"/>
  <c r="U31" i="25" s="1"/>
  <c r="V31" i="25" s="1"/>
  <c r="W31" i="25" s="1"/>
  <c r="F20" i="25"/>
  <c r="F28" i="25" s="1"/>
  <c r="O15" i="25"/>
  <c r="P15" i="25" s="1"/>
  <c r="F16" i="25"/>
  <c r="G16" i="25" s="1"/>
  <c r="H16" i="25" s="1"/>
  <c r="I16" i="25" s="1"/>
  <c r="J16" i="25" s="1"/>
  <c r="K16" i="25" s="1"/>
  <c r="L16" i="25" s="1"/>
  <c r="M16" i="25" s="1"/>
  <c r="N16" i="25" s="1"/>
  <c r="O16" i="25" s="1"/>
  <c r="P16" i="25" s="1"/>
  <c r="Q16" i="25" s="1"/>
  <c r="R16" i="25" s="1"/>
  <c r="S16" i="25" s="1"/>
  <c r="T16" i="25" s="1"/>
  <c r="U16" i="25" s="1"/>
  <c r="V16" i="25" s="1"/>
  <c r="W16" i="25" s="1"/>
  <c r="C29" i="25"/>
  <c r="F29" i="25"/>
  <c r="G29" i="25" s="1"/>
  <c r="H29" i="25" s="1"/>
  <c r="I29" i="25" s="1"/>
  <c r="J29" i="25" s="1"/>
  <c r="K29" i="25" s="1"/>
  <c r="L29" i="25" s="1"/>
  <c r="M29" i="25" s="1"/>
  <c r="N29" i="25" s="1"/>
  <c r="O29" i="25" s="1"/>
  <c r="P29" i="25" s="1"/>
  <c r="Q29" i="25" s="1"/>
  <c r="R29" i="25" s="1"/>
  <c r="S29" i="25" s="1"/>
  <c r="T29" i="25" s="1"/>
  <c r="U29" i="25" s="1"/>
  <c r="V29" i="25" s="1"/>
  <c r="W29" i="25" s="1"/>
  <c r="C30" i="25"/>
  <c r="F30" i="25"/>
  <c r="G30" i="25" s="1"/>
  <c r="H30" i="25" s="1"/>
  <c r="I30" i="25" s="1"/>
  <c r="J30" i="25" s="1"/>
  <c r="K30" i="25" s="1"/>
  <c r="L30" i="25" s="1"/>
  <c r="M30" i="25" s="1"/>
  <c r="N30" i="25" s="1"/>
  <c r="O30" i="25" s="1"/>
  <c r="P30" i="25" s="1"/>
  <c r="Q30" i="25" s="1"/>
  <c r="R30" i="25" s="1"/>
  <c r="S30" i="25" s="1"/>
  <c r="T30" i="25" s="1"/>
  <c r="U30" i="25" s="1"/>
  <c r="V30" i="25" s="1"/>
  <c r="W30" i="25" s="1"/>
  <c r="D34" i="25"/>
  <c r="E48" i="25" s="1"/>
  <c r="E25" i="25" s="1"/>
  <c r="E49" i="25"/>
  <c r="F49" i="25" s="1"/>
  <c r="G49" i="25" s="1"/>
  <c r="H49" i="25" s="1"/>
  <c r="I49" i="25" s="1"/>
  <c r="J49" i="25" s="1"/>
  <c r="K49" i="25" s="1"/>
  <c r="L49" i="25" s="1"/>
  <c r="M49" i="25" s="1"/>
  <c r="N49" i="25" s="1"/>
  <c r="O49" i="25" s="1"/>
  <c r="P49" i="25" s="1"/>
  <c r="Q49" i="25" s="1"/>
  <c r="R49" i="25" s="1"/>
  <c r="S49" i="25" s="1"/>
  <c r="T49" i="25" s="1"/>
  <c r="U49" i="25" s="1"/>
  <c r="V49" i="25" s="1"/>
  <c r="W49" i="25" s="1"/>
  <c r="D17" i="25"/>
  <c r="D50" i="25"/>
  <c r="Q46" i="25" l="1"/>
  <c r="Q15" i="25"/>
  <c r="C12" i="25"/>
  <c r="H46" i="25" s="1"/>
  <c r="G18" i="25"/>
  <c r="E23" i="25"/>
  <c r="F23" i="25"/>
  <c r="G20" i="25"/>
  <c r="G28" i="25" s="1"/>
  <c r="D10" i="25"/>
  <c r="F46" i="25"/>
  <c r="N46" i="25"/>
  <c r="P46" i="25"/>
  <c r="E46" i="25"/>
  <c r="G46" i="25"/>
  <c r="I46" i="25"/>
  <c r="K46" i="25"/>
  <c r="M46" i="25"/>
  <c r="D37" i="25"/>
  <c r="X29" i="25"/>
  <c r="Y29" i="25" s="1"/>
  <c r="Z29" i="25" s="1"/>
  <c r="AA29" i="25" s="1"/>
  <c r="AB29" i="25" s="1"/>
  <c r="AC29" i="25" s="1"/>
  <c r="X16" i="25"/>
  <c r="Y16" i="25" s="1"/>
  <c r="Z16" i="25" s="1"/>
  <c r="AA16" i="25" s="1"/>
  <c r="AB16" i="25" s="1"/>
  <c r="AC16" i="25" s="1"/>
  <c r="E45" i="25"/>
  <c r="E32" i="25" s="1"/>
  <c r="C11" i="25"/>
  <c r="X30" i="25"/>
  <c r="Y30" i="25" s="1"/>
  <c r="Z30" i="25" s="1"/>
  <c r="AA30" i="25" s="1"/>
  <c r="AB30" i="25" s="1"/>
  <c r="AC30" i="25" s="1"/>
  <c r="X49" i="25"/>
  <c r="Y49" i="25" s="1"/>
  <c r="Z49" i="25" s="1"/>
  <c r="AA49" i="25" s="1"/>
  <c r="AB49" i="25" s="1"/>
  <c r="AC49" i="25" s="1"/>
  <c r="X31" i="25"/>
  <c r="Y31" i="25" s="1"/>
  <c r="Z31" i="25" s="1"/>
  <c r="AA31" i="25" s="1"/>
  <c r="AB31" i="25" s="1"/>
  <c r="AC31" i="25" s="1"/>
  <c r="J19" i="25"/>
  <c r="K19" i="25" s="1"/>
  <c r="L19" i="25" s="1"/>
  <c r="M19" i="25" s="1"/>
  <c r="N19" i="25" s="1"/>
  <c r="O19" i="25" s="1"/>
  <c r="P19" i="25" s="1"/>
  <c r="Q19" i="25" s="1"/>
  <c r="R19" i="25" s="1"/>
  <c r="S19" i="25" s="1"/>
  <c r="T19" i="25" s="1"/>
  <c r="U19" i="25" s="1"/>
  <c r="V19" i="25" s="1"/>
  <c r="W19" i="25" s="1"/>
  <c r="J24" i="25"/>
  <c r="L46" i="25" l="1"/>
  <c r="J46" i="25"/>
  <c r="R46" i="25"/>
  <c r="R15" i="25"/>
  <c r="I18" i="25"/>
  <c r="J18" i="25" s="1"/>
  <c r="K18" i="25" s="1"/>
  <c r="L18" i="25" s="1"/>
  <c r="M18" i="25" s="1"/>
  <c r="N18" i="25" s="1"/>
  <c r="O18" i="25" s="1"/>
  <c r="P18" i="25" s="1"/>
  <c r="Q18" i="25" s="1"/>
  <c r="R18" i="25" s="1"/>
  <c r="S18" i="25" s="1"/>
  <c r="T18" i="25" s="1"/>
  <c r="U18" i="25" s="1"/>
  <c r="V18" i="25" s="1"/>
  <c r="W18" i="25" s="1"/>
  <c r="X18" i="25" s="1"/>
  <c r="Y18" i="25" s="1"/>
  <c r="Z18" i="25" s="1"/>
  <c r="AA18" i="25" s="1"/>
  <c r="AB18" i="25" s="1"/>
  <c r="AC18" i="25" s="1"/>
  <c r="C18" i="25"/>
  <c r="G23" i="25"/>
  <c r="O46" i="25"/>
  <c r="H20" i="25"/>
  <c r="H28" i="25" s="1"/>
  <c r="F45" i="25"/>
  <c r="X19" i="25"/>
  <c r="K24" i="25"/>
  <c r="S15" i="25" l="1"/>
  <c r="S46" i="25"/>
  <c r="H23" i="25"/>
  <c r="I20" i="25"/>
  <c r="I28" i="25" s="1"/>
  <c r="F32" i="25"/>
  <c r="G45" i="25"/>
  <c r="Y19" i="25"/>
  <c r="L24" i="25"/>
  <c r="T15" i="25" l="1"/>
  <c r="T46" i="25"/>
  <c r="J20" i="25"/>
  <c r="J28" i="25" s="1"/>
  <c r="I23" i="25"/>
  <c r="G32" i="25"/>
  <c r="H45" i="25"/>
  <c r="Z19" i="25"/>
  <c r="M24" i="25"/>
  <c r="U15" i="25" l="1"/>
  <c r="U46" i="25"/>
  <c r="J23" i="25"/>
  <c r="K20" i="25"/>
  <c r="K28" i="25" s="1"/>
  <c r="I45" i="25"/>
  <c r="H32" i="25"/>
  <c r="AA19" i="25"/>
  <c r="N24" i="25"/>
  <c r="V15" i="25" l="1"/>
  <c r="V46" i="25"/>
  <c r="K23" i="25"/>
  <c r="L20" i="25"/>
  <c r="L28" i="25" s="1"/>
  <c r="I32" i="25"/>
  <c r="J45" i="25"/>
  <c r="AB19" i="25"/>
  <c r="AC19" i="25" s="1"/>
  <c r="O24" i="25"/>
  <c r="W15" i="25" l="1"/>
  <c r="W46" i="25"/>
  <c r="M20" i="25"/>
  <c r="M28" i="25" s="1"/>
  <c r="L23" i="25"/>
  <c r="J32" i="25"/>
  <c r="K45" i="25"/>
  <c r="P24" i="25"/>
  <c r="X46" i="25" l="1"/>
  <c r="X15" i="25"/>
  <c r="N20" i="25"/>
  <c r="N28" i="25" s="1"/>
  <c r="M23" i="25"/>
  <c r="K32" i="25"/>
  <c r="L45" i="25"/>
  <c r="Q24" i="25"/>
  <c r="Y46" i="25" l="1"/>
  <c r="Y15" i="25"/>
  <c r="N23" i="25"/>
  <c r="O20" i="25"/>
  <c r="O28" i="25" s="1"/>
  <c r="M45" i="25"/>
  <c r="L32" i="25"/>
  <c r="R24" i="25"/>
  <c r="Z15" i="25" l="1"/>
  <c r="Z46" i="25"/>
  <c r="O23" i="25"/>
  <c r="P20" i="25"/>
  <c r="P28" i="25" s="1"/>
  <c r="N45" i="25"/>
  <c r="M32" i="25"/>
  <c r="S24" i="25"/>
  <c r="AA15" i="25" l="1"/>
  <c r="AA46" i="25"/>
  <c r="P23" i="25"/>
  <c r="Q20" i="25"/>
  <c r="Q28" i="25" s="1"/>
  <c r="O45" i="25"/>
  <c r="N32" i="25"/>
  <c r="T24" i="25"/>
  <c r="AB46" i="25" l="1"/>
  <c r="AB15" i="25"/>
  <c r="Q23" i="25"/>
  <c r="R20" i="25"/>
  <c r="R28" i="25" s="1"/>
  <c r="P45" i="25"/>
  <c r="O32" i="25"/>
  <c r="U24" i="25"/>
  <c r="AC46" i="25" l="1"/>
  <c r="AD46" i="25" s="1"/>
  <c r="AC15" i="25"/>
  <c r="S20" i="25"/>
  <c r="S28" i="25" s="1"/>
  <c r="R23" i="25"/>
  <c r="P32" i="25"/>
  <c r="Q45" i="25"/>
  <c r="V24" i="25"/>
  <c r="S23" i="25" l="1"/>
  <c r="T20" i="25"/>
  <c r="T28" i="25" s="1"/>
  <c r="Q32" i="25"/>
  <c r="R45" i="25"/>
  <c r="W24" i="25"/>
  <c r="X24" i="25" s="1"/>
  <c r="Y24" i="25" s="1"/>
  <c r="Z24" i="25" s="1"/>
  <c r="AA24" i="25" s="1"/>
  <c r="AB24" i="25" s="1"/>
  <c r="AC24" i="25" s="1"/>
  <c r="T23" i="25" l="1"/>
  <c r="U20" i="25"/>
  <c r="U28" i="25" s="1"/>
  <c r="S45" i="25"/>
  <c r="R32" i="25"/>
  <c r="U23" i="25" l="1"/>
  <c r="V20" i="25"/>
  <c r="V28" i="25" s="1"/>
  <c r="S32" i="25"/>
  <c r="T45" i="25"/>
  <c r="AD24" i="25"/>
  <c r="V23" i="25" l="1"/>
  <c r="W20" i="25"/>
  <c r="W28" i="25" s="1"/>
  <c r="T32" i="25"/>
  <c r="U45" i="25"/>
  <c r="X20" i="25" l="1"/>
  <c r="X28" i="25" s="1"/>
  <c r="W23" i="25"/>
  <c r="V45" i="25"/>
  <c r="U32" i="25"/>
  <c r="Y20" i="25" l="1"/>
  <c r="Y28" i="25" s="1"/>
  <c r="X23" i="25"/>
  <c r="W45" i="25"/>
  <c r="V32" i="25"/>
  <c r="Z20" i="25" l="1"/>
  <c r="Z28" i="25" s="1"/>
  <c r="Y23" i="25"/>
  <c r="X45" i="25"/>
  <c r="W32" i="25"/>
  <c r="AA20" i="25" l="1"/>
  <c r="AA28" i="25" s="1"/>
  <c r="Z23" i="25"/>
  <c r="X32" i="25"/>
  <c r="Y45" i="25"/>
  <c r="AB20" i="25" l="1"/>
  <c r="AB28" i="25" s="1"/>
  <c r="AA23" i="25"/>
  <c r="Y32" i="25"/>
  <c r="Z45" i="25"/>
  <c r="AB23" i="25" l="1"/>
  <c r="AC20" i="25"/>
  <c r="AC28" i="25" s="1"/>
  <c r="G11" i="25"/>
  <c r="Z32" i="25"/>
  <c r="AA45" i="25"/>
  <c r="E28" i="25" l="1"/>
  <c r="C28" i="25" s="1"/>
  <c r="J11" i="25"/>
  <c r="AD20" i="25"/>
  <c r="C20" i="25"/>
  <c r="AC23" i="25"/>
  <c r="AD23" i="25" s="1"/>
  <c r="C23" i="25"/>
  <c r="AA32" i="25"/>
  <c r="AB45" i="25"/>
  <c r="E34" i="25" l="1"/>
  <c r="F48" i="25" s="1"/>
  <c r="F25" i="25" s="1"/>
  <c r="F34" i="25" s="1"/>
  <c r="G48" i="25" s="1"/>
  <c r="G25" i="25" s="1"/>
  <c r="G34" i="25" s="1"/>
  <c r="H48" i="25" s="1"/>
  <c r="H25" i="25" s="1"/>
  <c r="H34" i="25" s="1"/>
  <c r="H5" i="25"/>
  <c r="C19" i="25"/>
  <c r="M12" i="25" s="1"/>
  <c r="AB32" i="25"/>
  <c r="AC45" i="25"/>
  <c r="AC32" i="25" s="1"/>
  <c r="I48" i="25" l="1"/>
  <c r="I25" i="25" s="1"/>
  <c r="I34" i="25" s="1"/>
  <c r="J48" i="25" l="1"/>
  <c r="J25" i="25" s="1"/>
  <c r="J34" i="25" s="1"/>
  <c r="K48" i="25" l="1"/>
  <c r="K25" i="25" s="1"/>
  <c r="K34" i="25" s="1"/>
  <c r="L48" i="25" l="1"/>
  <c r="L25" i="25" s="1"/>
  <c r="L34" i="25" s="1"/>
  <c r="M48" i="25" l="1"/>
  <c r="M25" i="25" s="1"/>
  <c r="M34" i="25" s="1"/>
  <c r="N48" i="25" l="1"/>
  <c r="N25" i="25" s="1"/>
  <c r="N34" i="25" s="1"/>
  <c r="O48" i="25" l="1"/>
  <c r="O25" i="25" s="1"/>
  <c r="O34" i="25" s="1"/>
  <c r="P48" i="25" l="1"/>
  <c r="P25" i="25" s="1"/>
  <c r="P34" i="25" s="1"/>
  <c r="Q48" i="25" l="1"/>
  <c r="Q25" i="25" s="1"/>
  <c r="Q34" i="25" s="1"/>
  <c r="R48" i="25" l="1"/>
  <c r="R25" i="25" s="1"/>
  <c r="R34" i="25" s="1"/>
  <c r="S48" i="25" l="1"/>
  <c r="S25" i="25" s="1"/>
  <c r="S34" i="25" s="1"/>
  <c r="T48" i="25" l="1"/>
  <c r="T25" i="25" s="1"/>
  <c r="T34" i="25" s="1"/>
  <c r="U48" i="25" l="1"/>
  <c r="U25" i="25" s="1"/>
  <c r="U34" i="25" s="1"/>
  <c r="V48" i="25" l="1"/>
  <c r="V25" i="25" s="1"/>
  <c r="V34" i="25" s="1"/>
  <c r="W48" i="25" l="1"/>
  <c r="W25" i="25" s="1"/>
  <c r="W34" i="25" s="1"/>
  <c r="X48" i="25" l="1"/>
  <c r="X25" i="25" s="1"/>
  <c r="X34" i="25" s="1"/>
  <c r="Y48" i="25" l="1"/>
  <c r="Y25" i="25" s="1"/>
  <c r="Y34" i="25" s="1"/>
  <c r="Z48" i="25" l="1"/>
  <c r="Z25" i="25" s="1"/>
  <c r="Z34" i="25" s="1"/>
  <c r="AA48" i="25" l="1"/>
  <c r="AA25" i="25" s="1"/>
  <c r="AA34" i="25" s="1"/>
  <c r="AB48" i="25" l="1"/>
  <c r="AB25" i="25" s="1"/>
  <c r="AB34" i="25" s="1"/>
  <c r="AC48" i="25" l="1"/>
  <c r="AC25" i="25" s="1"/>
  <c r="AC34" i="25" s="1"/>
  <c r="K35" i="25" l="1"/>
  <c r="K37" i="25" s="1"/>
  <c r="M35" i="25"/>
  <c r="M37" i="25" s="1"/>
  <c r="O35" i="25"/>
  <c r="O37" i="25" s="1"/>
  <c r="W35" i="25"/>
  <c r="W37" i="25" s="1"/>
  <c r="F35" i="25"/>
  <c r="F37" i="25" s="1"/>
  <c r="F39" i="25" s="1"/>
  <c r="G35" i="25"/>
  <c r="G37" i="25" s="1"/>
  <c r="H35" i="25"/>
  <c r="H37" i="25" s="1"/>
  <c r="H39" i="25" s="1"/>
  <c r="I35" i="25"/>
  <c r="I37" i="25" s="1"/>
  <c r="J35" i="25"/>
  <c r="J37" i="25" s="1"/>
  <c r="L35" i="25"/>
  <c r="L37" i="25" s="1"/>
  <c r="N35" i="25"/>
  <c r="N37" i="25" s="1"/>
  <c r="P35" i="25"/>
  <c r="P37" i="25" s="1"/>
  <c r="Q35" i="25"/>
  <c r="Q37" i="25" s="1"/>
  <c r="Q39" i="25" s="1"/>
  <c r="R35" i="25"/>
  <c r="R37" i="25" s="1"/>
  <c r="S35" i="25"/>
  <c r="S37" i="25" s="1"/>
  <c r="S39" i="25" s="1"/>
  <c r="T35" i="25"/>
  <c r="T37" i="25" s="1"/>
  <c r="U35" i="25"/>
  <c r="U37" i="25" s="1"/>
  <c r="U39" i="25" s="1"/>
  <c r="V35" i="25"/>
  <c r="V37" i="25" s="1"/>
  <c r="X35" i="25"/>
  <c r="X37" i="25" s="1"/>
  <c r="Y35" i="25"/>
  <c r="Y37" i="25" s="1"/>
  <c r="Y39" i="25" s="1"/>
  <c r="Z35" i="25"/>
  <c r="Z37" i="25" s="1"/>
  <c r="AA35" i="25"/>
  <c r="AA37" i="25" s="1"/>
  <c r="AC35" i="25"/>
  <c r="AC37" i="25" s="1"/>
  <c r="AB35" i="25"/>
  <c r="AB37" i="25" s="1"/>
  <c r="M11" i="25"/>
  <c r="M13" i="25" s="1"/>
  <c r="C32" i="25" s="1"/>
  <c r="E35" i="25"/>
  <c r="E37" i="25" s="1"/>
  <c r="E41" i="25" s="1"/>
  <c r="C34" i="25" l="1"/>
  <c r="C37" i="25" s="1"/>
  <c r="AB39" i="25"/>
  <c r="AB41" i="25"/>
  <c r="E39" i="25"/>
  <c r="E51" i="25"/>
  <c r="AC51" i="25"/>
  <c r="P51" i="25"/>
  <c r="T51" i="25"/>
  <c r="U51" i="25"/>
  <c r="AD35" i="25"/>
  <c r="Z51" i="25"/>
  <c r="S51" i="25"/>
  <c r="K51" i="25"/>
  <c r="M51" i="25"/>
  <c r="I51" i="25"/>
  <c r="W51" i="25"/>
  <c r="AB51" i="25"/>
  <c r="F51" i="25"/>
  <c r="L51" i="25"/>
  <c r="N51" i="25"/>
  <c r="G51" i="25"/>
  <c r="R51" i="25"/>
  <c r="X51" i="25"/>
  <c r="Q51" i="25"/>
  <c r="J51" i="25"/>
  <c r="Y51" i="25"/>
  <c r="H51" i="25"/>
  <c r="V51" i="25"/>
  <c r="AA51" i="25"/>
  <c r="O51" i="25"/>
  <c r="E50" i="25"/>
  <c r="F50" i="25" s="1"/>
  <c r="G50" i="25" s="1"/>
  <c r="H50" i="25" s="1"/>
  <c r="I50" i="25" s="1"/>
  <c r="J50" i="25" s="1"/>
  <c r="K50" i="25" s="1"/>
  <c r="L50" i="25" s="1"/>
  <c r="M50" i="25" s="1"/>
  <c r="N50" i="25" s="1"/>
  <c r="O50" i="25" s="1"/>
  <c r="P50" i="25" s="1"/>
  <c r="Q50" i="25" s="1"/>
  <c r="R50" i="25" s="1"/>
  <c r="S50" i="25" s="1"/>
  <c r="T50" i="25" s="1"/>
  <c r="U50" i="25" s="1"/>
  <c r="V50" i="25" s="1"/>
  <c r="W50" i="25" s="1"/>
  <c r="X50" i="25" s="1"/>
  <c r="Y50" i="25" s="1"/>
  <c r="Z50" i="25" s="1"/>
  <c r="AA50" i="25" s="1"/>
  <c r="AB50" i="25" s="1"/>
  <c r="AC50" i="25" s="1"/>
  <c r="AA41" i="25"/>
  <c r="AA39" i="25"/>
  <c r="X39" i="25"/>
  <c r="X41" i="25"/>
  <c r="T39" i="25"/>
  <c r="T41" i="25"/>
  <c r="P39" i="25"/>
  <c r="P41" i="25"/>
  <c r="L39" i="25"/>
  <c r="L41" i="25"/>
  <c r="I39" i="25"/>
  <c r="I41" i="25"/>
  <c r="W41" i="25"/>
  <c r="W39" i="25"/>
  <c r="M41" i="25"/>
  <c r="M39" i="25"/>
  <c r="AC39" i="25"/>
  <c r="AC41" i="25"/>
  <c r="Z39" i="25"/>
  <c r="Z41" i="25"/>
  <c r="V39" i="25"/>
  <c r="V41" i="25"/>
  <c r="R39" i="25"/>
  <c r="R41" i="25"/>
  <c r="N39" i="25"/>
  <c r="N41" i="25"/>
  <c r="J39" i="25"/>
  <c r="J41" i="25"/>
  <c r="G39" i="25"/>
  <c r="G41" i="25"/>
  <c r="O41" i="25"/>
  <c r="O39" i="25"/>
  <c r="K39" i="25"/>
  <c r="K41" i="25"/>
  <c r="Y41" i="25"/>
  <c r="U41" i="25"/>
  <c r="S41" i="25"/>
  <c r="Q41" i="25"/>
  <c r="H41" i="25"/>
  <c r="F41" i="25"/>
  <c r="AD41" i="25" l="1"/>
  <c r="H40" i="25"/>
  <c r="K40" i="25"/>
  <c r="P40" i="25"/>
  <c r="R40" i="25"/>
  <c r="T40" i="25"/>
  <c r="V40" i="25"/>
  <c r="Y40" i="25"/>
  <c r="I40" i="25"/>
  <c r="AC40" i="25"/>
  <c r="M40" i="25"/>
  <c r="O40" i="25"/>
  <c r="Z40" i="25"/>
  <c r="F40" i="25"/>
  <c r="J40" i="25"/>
  <c r="AB40" i="25"/>
  <c r="Q40" i="25"/>
  <c r="S40" i="25"/>
  <c r="U40" i="25"/>
  <c r="X40" i="25"/>
  <c r="G40" i="25"/>
  <c r="AA40" i="25"/>
  <c r="L40" i="25"/>
  <c r="N40" i="25"/>
  <c r="W40" i="25"/>
  <c r="AD39" i="25"/>
  <c r="E53" i="25" s="1"/>
  <c r="F53" i="25" s="1"/>
  <c r="G53" i="25" s="1"/>
  <c r="H53" i="25" s="1"/>
  <c r="I53" i="25" s="1"/>
  <c r="J53" i="25" s="1"/>
  <c r="K53" i="25" s="1"/>
  <c r="L53" i="25" s="1"/>
  <c r="M53" i="25" s="1"/>
  <c r="N53" i="25" s="1"/>
  <c r="O53" i="25" s="1"/>
  <c r="O54" i="25" l="1"/>
  <c r="P53" i="25"/>
  <c r="P54" i="25" l="1"/>
  <c r="P55" i="25" s="1"/>
  <c r="Q53" i="25"/>
  <c r="Q54" i="25" l="1"/>
  <c r="Q55" i="25" s="1"/>
  <c r="R53" i="25"/>
  <c r="R54" i="25" l="1"/>
  <c r="S53" i="25"/>
  <c r="S54" i="25" l="1"/>
  <c r="T53" i="25"/>
  <c r="R55" i="25"/>
  <c r="S56" i="25" l="1"/>
  <c r="S58" i="25" s="1"/>
  <c r="T59" i="25" s="1"/>
  <c r="U59" i="25" s="1"/>
  <c r="V59" i="25" s="1"/>
  <c r="W59" i="25" s="1"/>
  <c r="X59" i="25" s="1"/>
  <c r="Y59" i="25" s="1"/>
  <c r="Z59" i="25" s="1"/>
  <c r="AA59" i="25" s="1"/>
  <c r="AB59" i="25" s="1"/>
  <c r="AC59" i="25" s="1"/>
  <c r="T54" i="25"/>
  <c r="U53" i="25"/>
  <c r="S55" i="25"/>
  <c r="U54" i="25" l="1"/>
  <c r="V53" i="25"/>
  <c r="T56" i="25"/>
  <c r="T55" i="25"/>
  <c r="U55" i="25" l="1"/>
  <c r="V54" i="25"/>
  <c r="W53" i="25"/>
  <c r="S57" i="25"/>
  <c r="U56" i="25" s="1"/>
  <c r="T58" i="25"/>
  <c r="V56" i="25" l="1"/>
  <c r="U58" i="25"/>
  <c r="W54" i="25"/>
  <c r="W55" i="25" s="1"/>
  <c r="X53" i="25"/>
  <c r="V55" i="25"/>
  <c r="X54" i="25" l="1"/>
  <c r="X55" i="25" s="1"/>
  <c r="Y53" i="25"/>
  <c r="V58" i="25"/>
  <c r="W56" i="25"/>
  <c r="X56" i="25" l="1"/>
  <c r="W58" i="25"/>
  <c r="Y54" i="25"/>
  <c r="Y55" i="25" s="1"/>
  <c r="Z53" i="25"/>
  <c r="Z54" i="25" l="1"/>
  <c r="Z55" i="25" s="1"/>
  <c r="AA53" i="25"/>
  <c r="X58" i="25"/>
  <c r="Y56" i="25"/>
  <c r="Z56" i="25" l="1"/>
  <c r="Y58" i="25"/>
  <c r="AA54" i="25"/>
  <c r="AA55" i="25" s="1"/>
  <c r="AB53" i="25"/>
  <c r="AC53" i="25" l="1"/>
  <c r="AC54" i="25" s="1"/>
  <c r="AB54" i="25"/>
  <c r="AB55" i="25" s="1"/>
  <c r="Z58" i="25"/>
  <c r="AA56" i="25"/>
  <c r="AC55" i="25" l="1"/>
  <c r="AA58" i="25"/>
  <c r="AB56" i="25"/>
  <c r="AB58" i="25" l="1"/>
  <c r="AC56" i="25"/>
  <c r="AC58" i="25" s="1"/>
</calcChain>
</file>

<file path=xl/sharedStrings.xml><?xml version="1.0" encoding="utf-8"?>
<sst xmlns="http://schemas.openxmlformats.org/spreadsheetml/2006/main" count="63" uniqueCount="59">
  <si>
    <t>Fremdkapital</t>
  </si>
  <si>
    <t>Zinssatz Fremdmittel</t>
  </si>
  <si>
    <t>Jahr</t>
  </si>
  <si>
    <t>Investitionen</t>
  </si>
  <si>
    <t>Ertrag</t>
  </si>
  <si>
    <t>Aufwand</t>
  </si>
  <si>
    <t>Cash flow</t>
  </si>
  <si>
    <t xml:space="preserve">Abschreibung </t>
  </si>
  <si>
    <t>Erneuerungsrückstellung</t>
  </si>
  <si>
    <t>Gewinn/Verlust per 31.12</t>
  </si>
  <si>
    <t>Stand Fremdmittel 1.1.</t>
  </si>
  <si>
    <t>Amortisation Fremdmittel per 31.12.</t>
  </si>
  <si>
    <t>.</t>
  </si>
  <si>
    <t>Stand Flüssige Mittel 1.1.</t>
  </si>
  <si>
    <t>Stand Erneuerungsrückstellungen 31.12</t>
  </si>
  <si>
    <t>Teuerung</t>
  </si>
  <si>
    <t>Stromverkauf</t>
  </si>
  <si>
    <t xml:space="preserve">Finanzertrag </t>
  </si>
  <si>
    <t xml:space="preserve">Wartung, Instandhaltung </t>
  </si>
  <si>
    <t>Ertrag:</t>
  </si>
  <si>
    <t>kWh/kWp</t>
  </si>
  <si>
    <t>Netto-Buchwert Anlage 31.12.</t>
  </si>
  <si>
    <t>kWp</t>
  </si>
  <si>
    <t>Annuität</t>
  </si>
  <si>
    <t>Eigenkapitalrendite mit Fremdkap.</t>
  </si>
  <si>
    <t>Eigenkapitalrendite ohne Fremdkap.</t>
  </si>
  <si>
    <t>Summe Abschreibungen</t>
  </si>
  <si>
    <t>Durchschnittliche EK mit Fremdkapital</t>
  </si>
  <si>
    <t>Verkaufspreis im jeweiligen Jahr</t>
  </si>
  <si>
    <t>Sollrendite auf EK bei Verkauf im jeweiligen Jahr</t>
  </si>
  <si>
    <t>Modell Vertragsauflösung Restwert nach 15 Jahren</t>
  </si>
  <si>
    <t xml:space="preserve">       Jedes weitere Jahr 1/14 weniger</t>
  </si>
  <si>
    <t>Jahre</t>
  </si>
  <si>
    <t>Kapitalzins /Annuität</t>
  </si>
  <si>
    <t xml:space="preserve">Restwert in % der Gesamt-Nettoinvestition </t>
  </si>
  <si>
    <t>Dachnutzung 2%</t>
  </si>
  <si>
    <t>Geschäftsführung</t>
  </si>
  <si>
    <t xml:space="preserve">Planrechnung </t>
  </si>
  <si>
    <t>Solarertrag [kWh/kW.a)</t>
  </si>
  <si>
    <t>Fr./kWp</t>
  </si>
  <si>
    <t>Bruttorendite</t>
  </si>
  <si>
    <t>Annuität NUR Solaranlage</t>
  </si>
  <si>
    <t>CHF</t>
  </si>
  <si>
    <t>Investition</t>
  </si>
  <si>
    <t>Gesamtinvest.</t>
  </si>
  <si>
    <t>Eigenkapital 40%</t>
  </si>
  <si>
    <t>CHF/kWh</t>
  </si>
  <si>
    <t>Rücklieferpreis ekl. MWST</t>
  </si>
  <si>
    <t>Rücklieferpreis</t>
  </si>
  <si>
    <t>Rp./kWh inkl. MWST</t>
  </si>
  <si>
    <t>Rp./kWh exkl. MWST</t>
  </si>
  <si>
    <t>Abschreibungsdauer</t>
  </si>
  <si>
    <t>Amortisation FK</t>
  </si>
  <si>
    <t>Leistung</t>
  </si>
  <si>
    <t>Wartungsaufwand</t>
  </si>
  <si>
    <t>Fr./kWh</t>
  </si>
  <si>
    <t>Zins bzw. Gesamtkapitalrendite</t>
  </si>
  <si>
    <t>kWh/a</t>
  </si>
  <si>
    <t>(KEV)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</si>
</sst>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%"/>
    <numFmt numFmtId="165" formatCode="#,##0.0"/>
    <numFmt numFmtId="166" formatCode="0.0000%"/>
    <numFmt numFmtId="167" formatCode="#,##0.000"/>
    <numFmt numFmtId="168" formatCode="#,##0.00000"/>
  </numFmts>
  <fonts count="14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b/>
      <sz val="18"/>
      <name val="Arial"/>
      <family val="2"/>
    </font>
    <font>
      <sz val="18"/>
      <name val="Arial"/>
      <family val="2"/>
    </font>
    <font>
      <sz val="8"/>
      <name val="Arial"/>
      <family val="2"/>
    </font>
    <font>
      <sz val="8.5"/>
      <name val="Arial"/>
      <family val="2"/>
    </font>
    <font>
      <sz val="8.5"/>
      <color indexed="33"/>
      <name val="Arial"/>
      <family val="2"/>
    </font>
    <font>
      <sz val="8.5"/>
      <color indexed="14"/>
      <name val="Arial"/>
      <family val="2"/>
    </font>
    <font>
      <b/>
      <sz val="8.5"/>
      <name val="Arial"/>
      <family val="2"/>
    </font>
    <font>
      <sz val="7"/>
      <name val="Arial"/>
      <family val="2"/>
    </font>
    <font>
      <sz val="8"/>
      <color indexed="14"/>
      <name val="Arial"/>
      <family val="2"/>
    </font>
    <font>
      <sz val="8.5"/>
      <color rgb="FFFF00FF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2" tint="-9.9948118533890809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0" borderId="0" xfId="2" quotePrefix="1" applyFont="1" applyBorder="1" applyAlignment="1">
      <alignment horizontal="left"/>
    </xf>
    <xf numFmtId="9" fontId="3" fillId="0" borderId="0" xfId="2" quotePrefix="1" applyNumberFormat="1" applyFont="1" applyBorder="1" applyAlignment="1">
      <alignment horizontal="left"/>
    </xf>
    <xf numFmtId="0" fontId="4" fillId="0" borderId="0" xfId="2" applyFont="1" applyBorder="1"/>
    <xf numFmtId="0" fontId="4" fillId="0" borderId="0" xfId="2" applyFont="1"/>
    <xf numFmtId="0" fontId="3" fillId="0" borderId="0" xfId="2" applyFont="1" applyBorder="1" applyAlignment="1">
      <alignment horizontal="left"/>
    </xf>
    <xf numFmtId="9" fontId="3" fillId="0" borderId="0" xfId="2" applyNumberFormat="1" applyFont="1" applyBorder="1" applyAlignment="1">
      <alignment horizontal="left"/>
    </xf>
    <xf numFmtId="0" fontId="5" fillId="0" borderId="0" xfId="2" applyFont="1" applyBorder="1"/>
    <xf numFmtId="9" fontId="5" fillId="0" borderId="0" xfId="2" applyNumberFormat="1" applyFont="1" applyBorder="1"/>
    <xf numFmtId="0" fontId="5" fillId="0" borderId="0" xfId="2" applyFont="1"/>
    <xf numFmtId="0" fontId="6" fillId="0" borderId="1" xfId="2" applyFont="1" applyBorder="1"/>
    <xf numFmtId="9" fontId="6" fillId="0" borderId="2" xfId="2" applyNumberFormat="1" applyFont="1" applyBorder="1"/>
    <xf numFmtId="0" fontId="6" fillId="0" borderId="2" xfId="2" applyFont="1" applyBorder="1"/>
    <xf numFmtId="3" fontId="7" fillId="0" borderId="2" xfId="2" applyNumberFormat="1" applyFont="1" applyBorder="1"/>
    <xf numFmtId="0" fontId="6" fillId="0" borderId="0" xfId="2" applyFont="1"/>
    <xf numFmtId="0" fontId="6" fillId="0" borderId="3" xfId="2" applyFont="1" applyBorder="1"/>
    <xf numFmtId="9" fontId="6" fillId="0" borderId="0" xfId="2" applyNumberFormat="1" applyFont="1" applyBorder="1"/>
    <xf numFmtId="3" fontId="6" fillId="0" borderId="0" xfId="2" applyNumberFormat="1" applyFont="1" applyBorder="1" applyAlignment="1">
      <alignment horizontal="right"/>
    </xf>
    <xf numFmtId="0" fontId="6" fillId="0" borderId="0" xfId="2" applyFont="1" applyBorder="1"/>
    <xf numFmtId="0" fontId="6" fillId="0" borderId="0" xfId="2" quotePrefix="1" applyFont="1" applyBorder="1" applyAlignment="1">
      <alignment horizontal="left"/>
    </xf>
    <xf numFmtId="3" fontId="6" fillId="0" borderId="0" xfId="2" applyNumberFormat="1" applyFont="1" applyBorder="1"/>
    <xf numFmtId="0" fontId="6" fillId="0" borderId="4" xfId="2" applyFont="1" applyBorder="1"/>
    <xf numFmtId="9" fontId="6" fillId="0" borderId="5" xfId="2" applyNumberFormat="1" applyFont="1" applyBorder="1"/>
    <xf numFmtId="0" fontId="6" fillId="0" borderId="5" xfId="2" applyFont="1" applyBorder="1"/>
    <xf numFmtId="0" fontId="6" fillId="0" borderId="6" xfId="2" applyFont="1" applyBorder="1"/>
    <xf numFmtId="9" fontId="6" fillId="0" borderId="6" xfId="2" applyNumberFormat="1" applyFont="1" applyBorder="1"/>
    <xf numFmtId="0" fontId="6" fillId="0" borderId="7" xfId="2" applyFont="1" applyBorder="1"/>
    <xf numFmtId="9" fontId="6" fillId="0" borderId="7" xfId="2" applyNumberFormat="1" applyFont="1" applyBorder="1"/>
    <xf numFmtId="3" fontId="6" fillId="0" borderId="7" xfId="2" applyNumberFormat="1" applyFont="1" applyBorder="1"/>
    <xf numFmtId="3" fontId="6" fillId="0" borderId="0" xfId="2" applyNumberFormat="1" applyFont="1"/>
    <xf numFmtId="0" fontId="6" fillId="0" borderId="8" xfId="2" applyFont="1" applyBorder="1"/>
    <xf numFmtId="9" fontId="6" fillId="0" borderId="8" xfId="2" applyNumberFormat="1" applyFont="1" applyBorder="1"/>
    <xf numFmtId="0" fontId="9" fillId="0" borderId="9" xfId="2" applyFont="1" applyBorder="1"/>
    <xf numFmtId="0" fontId="6" fillId="0" borderId="9" xfId="2" applyFont="1" applyBorder="1"/>
    <xf numFmtId="0" fontId="6" fillId="0" borderId="7" xfId="2" quotePrefix="1" applyFont="1" applyBorder="1" applyAlignment="1">
      <alignment horizontal="left"/>
    </xf>
    <xf numFmtId="3" fontId="6" fillId="0" borderId="8" xfId="2" applyNumberFormat="1" applyFont="1" applyBorder="1"/>
    <xf numFmtId="3" fontId="8" fillId="0" borderId="8" xfId="2" applyNumberFormat="1" applyFont="1" applyBorder="1"/>
    <xf numFmtId="3" fontId="6" fillId="0" borderId="9" xfId="2" applyNumberFormat="1" applyFont="1" applyBorder="1"/>
    <xf numFmtId="3" fontId="8" fillId="0" borderId="9" xfId="2" applyNumberFormat="1" applyFont="1" applyBorder="1"/>
    <xf numFmtId="3" fontId="8" fillId="0" borderId="7" xfId="2" applyNumberFormat="1" applyFont="1" applyBorder="1"/>
    <xf numFmtId="0" fontId="6" fillId="0" borderId="7" xfId="2" applyFont="1" applyBorder="1" applyAlignment="1">
      <alignment horizontal="left"/>
    </xf>
    <xf numFmtId="0" fontId="9" fillId="0" borderId="7" xfId="2" applyFont="1" applyBorder="1"/>
    <xf numFmtId="9" fontId="9" fillId="0" borderId="7" xfId="2" applyNumberFormat="1" applyFont="1" applyBorder="1"/>
    <xf numFmtId="3" fontId="9" fillId="0" borderId="7" xfId="2" applyNumberFormat="1" applyFont="1" applyBorder="1"/>
    <xf numFmtId="0" fontId="9" fillId="0" borderId="0" xfId="2" applyFont="1"/>
    <xf numFmtId="0" fontId="9" fillId="0" borderId="8" xfId="2" applyFont="1" applyBorder="1"/>
    <xf numFmtId="9" fontId="9" fillId="0" borderId="8" xfId="2" applyNumberFormat="1" applyFont="1" applyBorder="1"/>
    <xf numFmtId="0" fontId="9" fillId="0" borderId="6" xfId="2" applyFont="1" applyBorder="1"/>
    <xf numFmtId="9" fontId="9" fillId="0" borderId="6" xfId="2" applyNumberFormat="1" applyFont="1" applyBorder="1"/>
    <xf numFmtId="3" fontId="6" fillId="0" borderId="6" xfId="2" applyNumberFormat="1" applyFont="1" applyBorder="1"/>
    <xf numFmtId="164" fontId="6" fillId="0" borderId="6" xfId="2" applyNumberFormat="1" applyFont="1" applyBorder="1"/>
    <xf numFmtId="164" fontId="6" fillId="0" borderId="0" xfId="2" applyNumberFormat="1" applyFont="1"/>
    <xf numFmtId="164" fontId="6" fillId="0" borderId="7" xfId="2" applyNumberFormat="1" applyFont="1" applyBorder="1"/>
    <xf numFmtId="0" fontId="9" fillId="0" borderId="10" xfId="2" applyFont="1" applyBorder="1"/>
    <xf numFmtId="9" fontId="9" fillId="0" borderId="10" xfId="2" applyNumberFormat="1" applyFont="1" applyBorder="1"/>
    <xf numFmtId="3" fontId="6" fillId="0" borderId="10" xfId="2" applyNumberFormat="1" applyFont="1" applyBorder="1"/>
    <xf numFmtId="164" fontId="6" fillId="0" borderId="10" xfId="2" applyNumberFormat="1" applyFont="1" applyBorder="1"/>
    <xf numFmtId="9" fontId="6" fillId="0" borderId="7" xfId="2" quotePrefix="1" applyNumberFormat="1" applyFont="1" applyBorder="1" applyAlignment="1">
      <alignment horizontal="left"/>
    </xf>
    <xf numFmtId="164" fontId="8" fillId="0" borderId="7" xfId="2" applyNumberFormat="1" applyFont="1" applyBorder="1"/>
    <xf numFmtId="3" fontId="6" fillId="2" borderId="7" xfId="2" applyNumberFormat="1" applyFont="1" applyFill="1" applyBorder="1"/>
    <xf numFmtId="0" fontId="6" fillId="0" borderId="11" xfId="2" applyFont="1" applyBorder="1"/>
    <xf numFmtId="0" fontId="6" fillId="0" borderId="8" xfId="2" applyFont="1" applyBorder="1" applyAlignment="1">
      <alignment horizontal="left"/>
    </xf>
    <xf numFmtId="0" fontId="6" fillId="0" borderId="8" xfId="2" quotePrefix="1" applyFont="1" applyBorder="1" applyAlignment="1">
      <alignment horizontal="left"/>
    </xf>
    <xf numFmtId="0" fontId="9" fillId="0" borderId="12" xfId="2" applyFont="1" applyBorder="1"/>
    <xf numFmtId="3" fontId="9" fillId="0" borderId="12" xfId="2" applyNumberFormat="1" applyFont="1" applyBorder="1"/>
    <xf numFmtId="0" fontId="9" fillId="0" borderId="0" xfId="2" quotePrefix="1" applyFont="1" applyAlignment="1">
      <alignment horizontal="left"/>
    </xf>
    <xf numFmtId="9" fontId="9" fillId="0" borderId="0" xfId="2" quotePrefix="1" applyNumberFormat="1" applyFont="1" applyAlignment="1">
      <alignment horizontal="left"/>
    </xf>
    <xf numFmtId="164" fontId="9" fillId="0" borderId="0" xfId="2" applyNumberFormat="1" applyFont="1"/>
    <xf numFmtId="1" fontId="9" fillId="0" borderId="0" xfId="2" applyNumberFormat="1" applyFont="1"/>
    <xf numFmtId="9" fontId="6" fillId="0" borderId="0" xfId="2" applyNumberFormat="1" applyFont="1"/>
    <xf numFmtId="4" fontId="11" fillId="0" borderId="0" xfId="2" applyNumberFormat="1" applyFont="1" applyBorder="1"/>
    <xf numFmtId="3" fontId="6" fillId="0" borderId="0" xfId="2" applyNumberFormat="1" applyFont="1" applyFill="1" applyBorder="1" applyAlignment="1">
      <alignment horizontal="right"/>
    </xf>
    <xf numFmtId="0" fontId="6" fillId="0" borderId="0" xfId="2" applyFont="1" applyFill="1" applyBorder="1"/>
    <xf numFmtId="0" fontId="9" fillId="0" borderId="0" xfId="2" applyFont="1" applyBorder="1"/>
    <xf numFmtId="3" fontId="9" fillId="0" borderId="0" xfId="2" applyNumberFormat="1" applyFont="1" applyBorder="1"/>
    <xf numFmtId="0" fontId="8" fillId="0" borderId="0" xfId="2" applyFont="1" applyFill="1" applyBorder="1"/>
    <xf numFmtId="0" fontId="8" fillId="0" borderId="7" xfId="2" applyFont="1" applyBorder="1"/>
    <xf numFmtId="9" fontId="6" fillId="0" borderId="7" xfId="1" applyFont="1" applyBorder="1"/>
    <xf numFmtId="0" fontId="9" fillId="0" borderId="0" xfId="2" applyFont="1" applyAlignment="1">
      <alignment horizontal="left"/>
    </xf>
    <xf numFmtId="3" fontId="9" fillId="0" borderId="0" xfId="2" applyNumberFormat="1" applyFont="1"/>
    <xf numFmtId="10" fontId="9" fillId="0" borderId="0" xfId="2" quotePrefix="1" applyNumberFormat="1" applyFont="1" applyAlignment="1">
      <alignment horizontal="left"/>
    </xf>
    <xf numFmtId="9" fontId="9" fillId="0" borderId="0" xfId="2" applyNumberFormat="1" applyFont="1" applyAlignment="1">
      <alignment horizontal="left"/>
    </xf>
    <xf numFmtId="0" fontId="9" fillId="0" borderId="0" xfId="2" applyFont="1" applyAlignment="1">
      <alignment horizontal="right"/>
    </xf>
    <xf numFmtId="10" fontId="6" fillId="0" borderId="0" xfId="2" applyNumberFormat="1" applyFont="1" applyBorder="1" applyAlignment="1">
      <alignment horizontal="right"/>
    </xf>
    <xf numFmtId="10" fontId="8" fillId="0" borderId="7" xfId="1" applyNumberFormat="1" applyFont="1" applyBorder="1"/>
    <xf numFmtId="9" fontId="6" fillId="0" borderId="9" xfId="2" applyNumberFormat="1" applyFont="1" applyBorder="1"/>
    <xf numFmtId="168" fontId="8" fillId="0" borderId="0" xfId="2" applyNumberFormat="1" applyFont="1" applyBorder="1"/>
    <xf numFmtId="3" fontId="8" fillId="0" borderId="0" xfId="2" applyNumberFormat="1" applyFont="1" applyBorder="1" applyAlignment="1">
      <alignment horizontal="right"/>
    </xf>
    <xf numFmtId="3" fontId="5" fillId="0" borderId="0" xfId="2" applyNumberFormat="1" applyFont="1" applyBorder="1" applyAlignment="1">
      <alignment horizontal="right"/>
    </xf>
    <xf numFmtId="0" fontId="1" fillId="0" borderId="0" xfId="2" applyFont="1"/>
    <xf numFmtId="9" fontId="1" fillId="0" borderId="0" xfId="2" applyNumberFormat="1" applyFont="1"/>
    <xf numFmtId="0" fontId="6" fillId="0" borderId="0" xfId="2" applyFont="1" applyFill="1" applyBorder="1" applyAlignment="1">
      <alignment horizontal="left"/>
    </xf>
    <xf numFmtId="0" fontId="6" fillId="0" borderId="13" xfId="2" applyFont="1" applyBorder="1"/>
    <xf numFmtId="0" fontId="6" fillId="0" borderId="14" xfId="2" applyFont="1" applyBorder="1"/>
    <xf numFmtId="0" fontId="6" fillId="0" borderId="15" xfId="2" applyFont="1" applyBorder="1"/>
    <xf numFmtId="10" fontId="6" fillId="0" borderId="5" xfId="2" applyNumberFormat="1" applyFont="1" applyBorder="1"/>
    <xf numFmtId="0" fontId="9" fillId="0" borderId="1" xfId="2" applyFont="1" applyBorder="1"/>
    <xf numFmtId="166" fontId="10" fillId="0" borderId="4" xfId="0" applyNumberFormat="1" applyFont="1" applyBorder="1"/>
    <xf numFmtId="167" fontId="6" fillId="0" borderId="7" xfId="2" applyNumberFormat="1" applyFont="1" applyBorder="1"/>
    <xf numFmtId="165" fontId="6" fillId="0" borderId="0" xfId="2" applyNumberFormat="1" applyFont="1" applyBorder="1"/>
    <xf numFmtId="165" fontId="12" fillId="0" borderId="0" xfId="2" applyNumberFormat="1" applyFont="1" applyBorder="1"/>
    <xf numFmtId="0" fontId="13" fillId="0" borderId="0" xfId="2" applyFont="1" applyBorder="1"/>
    <xf numFmtId="10" fontId="6" fillId="0" borderId="7" xfId="1" applyNumberFormat="1" applyFont="1" applyBorder="1"/>
    <xf numFmtId="9" fontId="6" fillId="3" borderId="6" xfId="2" applyNumberFormat="1" applyFont="1" applyFill="1" applyBorder="1"/>
    <xf numFmtId="9" fontId="6" fillId="3" borderId="7" xfId="2" applyNumberFormat="1" applyFont="1" applyFill="1" applyBorder="1"/>
    <xf numFmtId="167" fontId="6" fillId="3" borderId="7" xfId="2" applyNumberFormat="1" applyFont="1" applyFill="1" applyBorder="1"/>
    <xf numFmtId="3" fontId="6" fillId="3" borderId="7" xfId="2" applyNumberFormat="1" applyFont="1" applyFill="1" applyBorder="1"/>
    <xf numFmtId="9" fontId="6" fillId="3" borderId="8" xfId="2" applyNumberFormat="1" applyFont="1" applyFill="1" applyBorder="1"/>
    <xf numFmtId="9" fontId="9" fillId="3" borderId="9" xfId="2" applyNumberFormat="1" applyFont="1" applyFill="1" applyBorder="1"/>
    <xf numFmtId="3" fontId="8" fillId="3" borderId="7" xfId="2" applyNumberFormat="1" applyFont="1" applyFill="1" applyBorder="1"/>
    <xf numFmtId="3" fontId="9" fillId="3" borderId="7" xfId="2" applyNumberFormat="1" applyFont="1" applyFill="1" applyBorder="1"/>
    <xf numFmtId="9" fontId="9" fillId="3" borderId="8" xfId="2" applyNumberFormat="1" applyFont="1" applyFill="1" applyBorder="1"/>
    <xf numFmtId="0" fontId="12" fillId="0" borderId="0" xfId="2" applyFont="1" applyBorder="1"/>
    <xf numFmtId="3" fontId="12" fillId="0" borderId="0" xfId="2" applyNumberFormat="1" applyFont="1" applyBorder="1"/>
    <xf numFmtId="3" fontId="10" fillId="0" borderId="3" xfId="0" applyNumberFormat="1" applyFont="1" applyBorder="1"/>
    <xf numFmtId="164" fontId="9" fillId="0" borderId="0" xfId="2" applyNumberFormat="1" applyFont="1" applyBorder="1"/>
    <xf numFmtId="164" fontId="6" fillId="0" borderId="7" xfId="2" quotePrefix="1" applyNumberFormat="1" applyFont="1" applyBorder="1" applyAlignment="1"/>
    <xf numFmtId="164" fontId="6" fillId="0" borderId="8" xfId="2" applyNumberFormat="1" applyFont="1" applyBorder="1"/>
    <xf numFmtId="164" fontId="9" fillId="0" borderId="9" xfId="2" applyNumberFormat="1" applyFont="1" applyBorder="1"/>
    <xf numFmtId="167" fontId="8" fillId="0" borderId="0" xfId="2" applyNumberFormat="1" applyFont="1" applyBorder="1" applyAlignment="1">
      <alignment horizontal="right"/>
    </xf>
    <xf numFmtId="164" fontId="12" fillId="0" borderId="7" xfId="2" applyNumberFormat="1" applyFont="1" applyBorder="1"/>
    <xf numFmtId="164" fontId="12" fillId="0" borderId="7" xfId="2" quotePrefix="1" applyNumberFormat="1" applyFont="1" applyBorder="1" applyAlignment="1"/>
    <xf numFmtId="3" fontId="6" fillId="0" borderId="2" xfId="2" applyNumberFormat="1" applyFont="1" applyBorder="1" applyAlignment="1">
      <alignment horizontal="right"/>
    </xf>
    <xf numFmtId="165" fontId="6" fillId="0" borderId="0" xfId="2" applyNumberFormat="1" applyFont="1" applyBorder="1" applyAlignment="1">
      <alignment horizontal="right"/>
    </xf>
    <xf numFmtId="3" fontId="3" fillId="0" borderId="0" xfId="2" applyNumberFormat="1" applyFont="1" applyBorder="1" applyAlignment="1">
      <alignment horizontal="left"/>
    </xf>
    <xf numFmtId="10" fontId="5" fillId="3" borderId="11" xfId="0" applyNumberFormat="1" applyFont="1" applyFill="1" applyBorder="1"/>
    <xf numFmtId="10" fontId="10" fillId="0" borderId="3" xfId="2" applyNumberFormat="1" applyFont="1" applyBorder="1"/>
  </cellXfs>
  <cellStyles count="3">
    <cellStyle name="Prozent" xfId="1" builtinId="5"/>
    <cellStyle name="Standard" xfId="0" builtinId="0"/>
    <cellStyle name="Standard_var 125 kW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ukostenkontrolle%20Solarstromanlag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UKOKO"/>
    </sheetNames>
    <sheetDataSet>
      <sheetData sheetId="0">
        <row r="1">
          <cell r="D1" t="str">
            <v>Solarstromanlage Schweiz</v>
          </cell>
        </row>
        <row r="6">
          <cell r="D6">
            <v>430</v>
          </cell>
        </row>
        <row r="44">
          <cell r="G44">
            <v>1485010</v>
          </cell>
        </row>
      </sheetData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6"/>
  <sheetViews>
    <sheetView tabSelected="1" workbookViewId="0">
      <selection activeCell="E21" sqref="E21"/>
    </sheetView>
  </sheetViews>
  <sheetFormatPr baseColWidth="10" defaultColWidth="11.5703125" defaultRowHeight="12.75"/>
  <cols>
    <col min="1" max="1" width="24.7109375" style="89" customWidth="1"/>
    <col min="2" max="2" width="7.42578125" style="90" customWidth="1"/>
    <col min="3" max="3" width="7.85546875" style="89" customWidth="1"/>
    <col min="4" max="4" width="9" style="89" customWidth="1"/>
    <col min="5" max="5" width="8.140625" style="89" customWidth="1"/>
    <col min="6" max="6" width="7.5703125" style="89" bestFit="1" customWidth="1"/>
    <col min="7" max="7" width="7.5703125" style="89" customWidth="1"/>
    <col min="8" max="8" width="7.85546875" style="89" customWidth="1"/>
    <col min="9" max="12" width="7.42578125" style="89" customWidth="1"/>
    <col min="13" max="14" width="8" style="89" customWidth="1"/>
    <col min="15" max="19" width="8.42578125" style="89" customWidth="1"/>
    <col min="20" max="20" width="8.85546875" style="89" customWidth="1"/>
    <col min="21" max="21" width="8.42578125" style="89" customWidth="1"/>
    <col min="22" max="22" width="8.7109375" style="89" customWidth="1"/>
    <col min="23" max="29" width="8.42578125" style="89" customWidth="1"/>
    <col min="30" max="30" width="9.42578125" style="89" customWidth="1"/>
    <col min="31" max="16384" width="11.5703125" style="89"/>
  </cols>
  <sheetData>
    <row r="1" spans="1:29" ht="23.25">
      <c r="A1" s="1" t="s">
        <v>37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5"/>
      <c r="S1" s="3"/>
      <c r="T1" s="3"/>
      <c r="U1" s="3"/>
      <c r="V1" s="3"/>
      <c r="W1" s="3"/>
      <c r="X1" s="3"/>
      <c r="Y1" s="3"/>
      <c r="Z1" s="3"/>
      <c r="AA1" s="3"/>
      <c r="AB1" s="3"/>
      <c r="AC1" s="4"/>
    </row>
    <row r="2" spans="1:29" ht="23.25">
      <c r="A2" s="124" t="str">
        <f>[1]BAUKOKO!$D$1</f>
        <v>Solarstromanlage Schweiz</v>
      </c>
      <c r="B2" s="6"/>
      <c r="C2" s="3"/>
      <c r="D2" s="5"/>
      <c r="E2" s="3"/>
      <c r="F2" s="101"/>
      <c r="I2" s="3"/>
      <c r="J2" s="70"/>
      <c r="K2" s="5"/>
      <c r="L2" s="3"/>
      <c r="M2" s="3"/>
      <c r="N2" s="3"/>
      <c r="O2" s="3"/>
      <c r="P2" s="3"/>
      <c r="Q2" s="3"/>
      <c r="R2" s="5"/>
      <c r="S2" s="5"/>
      <c r="T2" s="3"/>
      <c r="U2" s="3"/>
      <c r="V2" s="3"/>
      <c r="W2" s="3"/>
      <c r="X2" s="3"/>
      <c r="Y2" s="3"/>
      <c r="Z2" s="3"/>
      <c r="AA2" s="3"/>
      <c r="AB2" s="3"/>
      <c r="AC2" s="4"/>
    </row>
    <row r="3" spans="1:29">
      <c r="A3" s="7"/>
      <c r="B3" s="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9"/>
    </row>
    <row r="4" spans="1:29" s="14" customFormat="1" ht="11.25">
      <c r="A4" s="10" t="s">
        <v>43</v>
      </c>
      <c r="B4" s="11"/>
      <c r="C4" s="122">
        <f>[1]BAUKOKO!$G$44</f>
        <v>1485010</v>
      </c>
      <c r="D4" s="12" t="s">
        <v>42</v>
      </c>
      <c r="E4" s="12"/>
      <c r="F4" s="13"/>
      <c r="G4" s="12"/>
      <c r="H4" s="12"/>
      <c r="I4" s="12"/>
      <c r="J4" s="13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92"/>
    </row>
    <row r="5" spans="1:29" s="14" customFormat="1" ht="11.25">
      <c r="A5" s="15" t="s">
        <v>53</v>
      </c>
      <c r="B5" s="16"/>
      <c r="C5" s="123">
        <f>[1]BAUKOKO!$D$6</f>
        <v>430</v>
      </c>
      <c r="D5" s="18" t="s">
        <v>22</v>
      </c>
      <c r="F5" s="73" t="s">
        <v>40</v>
      </c>
      <c r="G5" s="73"/>
      <c r="H5" s="115">
        <f>$C$23/$C$10</f>
        <v>9.6393645879327153E-2</v>
      </c>
      <c r="I5" s="18"/>
      <c r="J5" s="18"/>
      <c r="K5" s="18"/>
      <c r="L5" s="18"/>
      <c r="M5" s="18"/>
      <c r="N5" s="18"/>
      <c r="O5" s="18"/>
      <c r="P5" s="73"/>
      <c r="Q5" s="74"/>
      <c r="R5" s="73"/>
      <c r="S5" s="18"/>
      <c r="T5" s="18"/>
      <c r="U5" s="18"/>
      <c r="V5" s="18"/>
      <c r="W5" s="18"/>
      <c r="X5" s="18"/>
      <c r="Y5" s="18"/>
      <c r="Z5" s="18"/>
      <c r="AA5" s="18"/>
      <c r="AB5" s="18"/>
      <c r="AC5" s="93"/>
    </row>
    <row r="6" spans="1:29" s="14" customFormat="1" ht="11.25">
      <c r="A6" s="18" t="s">
        <v>51</v>
      </c>
      <c r="B6" s="18"/>
      <c r="C6" s="113">
        <v>25</v>
      </c>
      <c r="D6" s="20" t="s">
        <v>32</v>
      </c>
      <c r="E6" s="18"/>
      <c r="F6" s="18" t="s">
        <v>48</v>
      </c>
      <c r="G6" s="18"/>
      <c r="H6" s="100">
        <v>39.200000000000003</v>
      </c>
      <c r="I6" s="18" t="s">
        <v>49</v>
      </c>
      <c r="J6" s="18"/>
      <c r="K6" s="14" t="s">
        <v>58</v>
      </c>
      <c r="M6" s="18"/>
      <c r="R6" s="73"/>
      <c r="S6" s="18"/>
      <c r="T6" s="18"/>
      <c r="U6" s="18"/>
      <c r="V6" s="18"/>
      <c r="W6" s="18"/>
      <c r="X6" s="18"/>
      <c r="Y6" s="18"/>
      <c r="Z6" s="18"/>
      <c r="AA6" s="18"/>
      <c r="AB6" s="18"/>
      <c r="AC6" s="93"/>
    </row>
    <row r="7" spans="1:29" s="14" customFormat="1" ht="11.25">
      <c r="A7" s="18" t="s">
        <v>52</v>
      </c>
      <c r="B7" s="18"/>
      <c r="C7" s="112">
        <v>12</v>
      </c>
      <c r="D7" s="20" t="s">
        <v>32</v>
      </c>
      <c r="E7" s="18"/>
      <c r="F7" s="18"/>
      <c r="G7" s="18"/>
      <c r="H7" s="99">
        <f>H6/1.08</f>
        <v>36.296296296296298</v>
      </c>
      <c r="I7" s="18" t="s">
        <v>50</v>
      </c>
      <c r="J7" s="18"/>
      <c r="M7" s="18"/>
      <c r="R7" s="73"/>
      <c r="S7" s="18"/>
      <c r="T7" s="18"/>
      <c r="U7" s="18"/>
      <c r="V7" s="18"/>
      <c r="W7" s="20"/>
      <c r="X7" s="20"/>
      <c r="Y7" s="20"/>
      <c r="Z7" s="20"/>
      <c r="AA7" s="20"/>
      <c r="AB7" s="20"/>
      <c r="AC7" s="93"/>
    </row>
    <row r="8" spans="1:29" s="14" customFormat="1" ht="11.25">
      <c r="A8" s="15" t="s">
        <v>54</v>
      </c>
      <c r="B8" s="16"/>
      <c r="C8" s="119">
        <v>7.0000000000000007E-2</v>
      </c>
      <c r="D8" s="88" t="s">
        <v>55</v>
      </c>
      <c r="E8" s="18"/>
      <c r="F8" s="17"/>
      <c r="G8" s="87"/>
      <c r="M8" s="18"/>
      <c r="N8" s="18"/>
      <c r="O8" s="18"/>
      <c r="P8" s="73"/>
      <c r="Q8" s="74"/>
      <c r="R8" s="73"/>
      <c r="S8" s="18"/>
      <c r="T8" s="18"/>
      <c r="U8" s="18"/>
      <c r="V8" s="18"/>
      <c r="W8" s="20"/>
      <c r="X8" s="20"/>
      <c r="Y8" s="20"/>
      <c r="Z8" s="20"/>
      <c r="AA8" s="20"/>
      <c r="AB8" s="20"/>
      <c r="AC8" s="93"/>
    </row>
    <row r="9" spans="1:29" s="14" customFormat="1" ht="11.25">
      <c r="A9" s="15"/>
      <c r="B9" s="16"/>
      <c r="C9" s="87"/>
      <c r="D9" s="88"/>
      <c r="E9" s="18"/>
      <c r="F9" s="17"/>
      <c r="G9" s="87"/>
      <c r="H9" s="18"/>
      <c r="I9" s="18"/>
      <c r="J9" s="20"/>
      <c r="K9" s="18"/>
      <c r="L9" s="18"/>
      <c r="M9" s="18"/>
      <c r="N9" s="18"/>
      <c r="O9" s="18"/>
      <c r="P9" s="73"/>
      <c r="Q9" s="74"/>
      <c r="R9" s="73"/>
      <c r="S9" s="18"/>
      <c r="T9" s="18"/>
      <c r="U9" s="18"/>
      <c r="V9" s="18"/>
      <c r="W9" s="20"/>
      <c r="X9" s="20"/>
      <c r="Y9" s="20"/>
      <c r="Z9" s="20"/>
      <c r="AA9" s="20"/>
      <c r="AB9" s="20"/>
      <c r="AC9" s="93"/>
    </row>
    <row r="10" spans="1:29" s="14" customFormat="1" ht="11.25">
      <c r="A10" s="15" t="s">
        <v>44</v>
      </c>
      <c r="B10" s="16"/>
      <c r="C10" s="17">
        <f>C4+C8-C9</f>
        <v>1485010.07</v>
      </c>
      <c r="D10" s="20">
        <f>C10/C5</f>
        <v>3453.5117906976748</v>
      </c>
      <c r="E10" s="91" t="s">
        <v>39</v>
      </c>
      <c r="F10" s="71"/>
      <c r="G10" s="72"/>
      <c r="H10" s="75"/>
      <c r="I10" s="72"/>
      <c r="J10" s="18"/>
      <c r="K10" s="18"/>
      <c r="L10" s="18"/>
      <c r="M10" s="96" t="s">
        <v>41</v>
      </c>
      <c r="N10" s="12"/>
      <c r="O10" s="92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93"/>
    </row>
    <row r="11" spans="1:29" s="14" customFormat="1" ht="11.25">
      <c r="A11" s="15" t="s">
        <v>45</v>
      </c>
      <c r="B11" s="16"/>
      <c r="C11" s="17">
        <f>C10-C12</f>
        <v>594004.02800000005</v>
      </c>
      <c r="D11" s="19"/>
      <c r="E11" s="18"/>
      <c r="F11" s="18" t="s">
        <v>19</v>
      </c>
      <c r="G11" s="29">
        <f>AVERAGE(E20:AC20)</f>
        <v>932</v>
      </c>
      <c r="H11" s="20" t="s">
        <v>20</v>
      </c>
      <c r="I11" s="18"/>
      <c r="J11" s="17">
        <f>G11*C5</f>
        <v>400760</v>
      </c>
      <c r="K11" s="18" t="s">
        <v>57</v>
      </c>
      <c r="L11" s="18"/>
      <c r="M11" s="114">
        <f>C6</f>
        <v>25</v>
      </c>
      <c r="N11" s="18" t="s">
        <v>32</v>
      </c>
      <c r="O11" s="93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93"/>
    </row>
    <row r="12" spans="1:29" s="14" customFormat="1" ht="11.25">
      <c r="A12" s="15" t="s">
        <v>0</v>
      </c>
      <c r="B12" s="16"/>
      <c r="C12" s="17">
        <f>C10*0.6</f>
        <v>891006.04200000002</v>
      </c>
      <c r="D12" s="18"/>
      <c r="E12" s="18"/>
      <c r="F12" s="18"/>
      <c r="G12" s="86"/>
      <c r="H12" s="18"/>
      <c r="I12" s="18"/>
      <c r="J12" s="18"/>
      <c r="K12" s="18"/>
      <c r="L12" s="18"/>
      <c r="M12" s="126">
        <f>C19</f>
        <v>4.9668931753191918E-2</v>
      </c>
      <c r="N12" s="18" t="s">
        <v>56</v>
      </c>
      <c r="O12" s="93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93"/>
    </row>
    <row r="13" spans="1:29" s="14" customFormat="1" ht="11.25">
      <c r="A13" s="15"/>
      <c r="B13" s="16"/>
      <c r="C13" s="83"/>
      <c r="D13" s="18"/>
      <c r="E13" s="18"/>
      <c r="F13" s="18"/>
      <c r="G13" s="18"/>
      <c r="H13" s="18"/>
      <c r="I13" s="18"/>
      <c r="J13" s="18"/>
      <c r="K13" s="18"/>
      <c r="L13" s="18"/>
      <c r="M13" s="97">
        <f>((1+M12)^M11)*M12/(((1+M12)^M11)-1)</f>
        <v>7.0717207570868371E-2</v>
      </c>
      <c r="N13" s="23" t="s">
        <v>23</v>
      </c>
      <c r="O13" s="94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93"/>
    </row>
    <row r="14" spans="1:29" s="14" customFormat="1" ht="11.25">
      <c r="A14" s="21"/>
      <c r="B14" s="22"/>
      <c r="C14" s="95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18"/>
      <c r="V14" s="18"/>
      <c r="W14" s="23"/>
      <c r="X14" s="23"/>
      <c r="Y14" s="23"/>
      <c r="Z14" s="23"/>
      <c r="AA14" s="23"/>
      <c r="AB14" s="23"/>
      <c r="AC14" s="94"/>
    </row>
    <row r="15" spans="1:29" s="14" customFormat="1" ht="11.25">
      <c r="A15" s="24"/>
      <c r="B15" s="25"/>
      <c r="C15" s="103" t="s">
        <v>23</v>
      </c>
      <c r="D15" s="24"/>
      <c r="E15" s="24">
        <v>1</v>
      </c>
      <c r="F15" s="24">
        <v>2</v>
      </c>
      <c r="G15" s="24">
        <v>3</v>
      </c>
      <c r="H15" s="24">
        <v>4</v>
      </c>
      <c r="I15" s="24">
        <v>5</v>
      </c>
      <c r="J15" s="24">
        <v>6</v>
      </c>
      <c r="K15" s="24">
        <v>7</v>
      </c>
      <c r="L15" s="24">
        <v>8</v>
      </c>
      <c r="M15" s="24">
        <v>9</v>
      </c>
      <c r="N15" s="24">
        <v>10</v>
      </c>
      <c r="O15" s="24">
        <f t="shared" ref="O15:W15" si="0">N15+1</f>
        <v>11</v>
      </c>
      <c r="P15" s="24">
        <f t="shared" si="0"/>
        <v>12</v>
      </c>
      <c r="Q15" s="24">
        <f t="shared" si="0"/>
        <v>13</v>
      </c>
      <c r="R15" s="24">
        <f t="shared" si="0"/>
        <v>14</v>
      </c>
      <c r="S15" s="24">
        <f t="shared" si="0"/>
        <v>15</v>
      </c>
      <c r="T15" s="24">
        <f t="shared" si="0"/>
        <v>16</v>
      </c>
      <c r="U15" s="24">
        <f t="shared" si="0"/>
        <v>17</v>
      </c>
      <c r="V15" s="24">
        <f t="shared" si="0"/>
        <v>18</v>
      </c>
      <c r="W15" s="24">
        <f t="shared" si="0"/>
        <v>19</v>
      </c>
      <c r="X15" s="24">
        <f t="shared" ref="X15:X16" si="1">W15+1</f>
        <v>20</v>
      </c>
      <c r="Y15" s="24">
        <f t="shared" ref="Y15:Y16" si="2">X15+1</f>
        <v>21</v>
      </c>
      <c r="Z15" s="24">
        <f t="shared" ref="Z15:Z16" si="3">Y15+1</f>
        <v>22</v>
      </c>
      <c r="AA15" s="24">
        <f t="shared" ref="AA15:AA16" si="4">Z15+1</f>
        <v>23</v>
      </c>
      <c r="AB15" s="24">
        <f t="shared" ref="AB15:AC16" si="5">AA15+1</f>
        <v>24</v>
      </c>
      <c r="AC15" s="24">
        <f t="shared" si="5"/>
        <v>25</v>
      </c>
    </row>
    <row r="16" spans="1:29" s="14" customFormat="1" ht="11.25">
      <c r="A16" s="26" t="s">
        <v>2</v>
      </c>
      <c r="B16" s="27"/>
      <c r="C16" s="104"/>
      <c r="D16" s="26">
        <v>2010</v>
      </c>
      <c r="E16" s="26">
        <v>2011</v>
      </c>
      <c r="F16" s="26">
        <f t="shared" ref="F16:N16" si="6">E16+1</f>
        <v>2012</v>
      </c>
      <c r="G16" s="26">
        <f t="shared" si="6"/>
        <v>2013</v>
      </c>
      <c r="H16" s="26">
        <f t="shared" si="6"/>
        <v>2014</v>
      </c>
      <c r="I16" s="26">
        <f t="shared" si="6"/>
        <v>2015</v>
      </c>
      <c r="J16" s="26">
        <f t="shared" si="6"/>
        <v>2016</v>
      </c>
      <c r="K16" s="26">
        <f t="shared" si="6"/>
        <v>2017</v>
      </c>
      <c r="L16" s="26">
        <f t="shared" si="6"/>
        <v>2018</v>
      </c>
      <c r="M16" s="26">
        <f t="shared" si="6"/>
        <v>2019</v>
      </c>
      <c r="N16" s="26">
        <f t="shared" si="6"/>
        <v>2020</v>
      </c>
      <c r="O16" s="26">
        <f t="shared" ref="O16:W16" si="7">N16+1</f>
        <v>2021</v>
      </c>
      <c r="P16" s="26">
        <f t="shared" si="7"/>
        <v>2022</v>
      </c>
      <c r="Q16" s="26">
        <f t="shared" si="7"/>
        <v>2023</v>
      </c>
      <c r="R16" s="26">
        <f t="shared" si="7"/>
        <v>2024</v>
      </c>
      <c r="S16" s="26">
        <f t="shared" si="7"/>
        <v>2025</v>
      </c>
      <c r="T16" s="26">
        <f t="shared" si="7"/>
        <v>2026</v>
      </c>
      <c r="U16" s="26">
        <f t="shared" si="7"/>
        <v>2027</v>
      </c>
      <c r="V16" s="26">
        <f t="shared" si="7"/>
        <v>2028</v>
      </c>
      <c r="W16" s="26">
        <f t="shared" si="7"/>
        <v>2029</v>
      </c>
      <c r="X16" s="26">
        <f t="shared" si="1"/>
        <v>2030</v>
      </c>
      <c r="Y16" s="26">
        <f t="shared" si="2"/>
        <v>2031</v>
      </c>
      <c r="Z16" s="26">
        <f t="shared" si="3"/>
        <v>2032</v>
      </c>
      <c r="AA16" s="26">
        <f t="shared" si="4"/>
        <v>2033</v>
      </c>
      <c r="AB16" s="26">
        <f t="shared" si="5"/>
        <v>2034</v>
      </c>
      <c r="AC16" s="26">
        <f t="shared" si="5"/>
        <v>2035</v>
      </c>
    </row>
    <row r="17" spans="1:30" s="14" customFormat="1" ht="11.25">
      <c r="A17" s="28" t="s">
        <v>3</v>
      </c>
      <c r="B17" s="27" t="s">
        <v>42</v>
      </c>
      <c r="C17" s="104"/>
      <c r="D17" s="28">
        <f>C4</f>
        <v>1485010</v>
      </c>
      <c r="E17" s="28"/>
      <c r="F17" s="28"/>
      <c r="G17" s="28"/>
      <c r="H17" s="28"/>
      <c r="I17" s="28"/>
      <c r="J17" s="28"/>
      <c r="K17" s="28">
        <v>0</v>
      </c>
      <c r="L17" s="28"/>
      <c r="M17" s="28"/>
      <c r="N17" s="28"/>
      <c r="O17" s="28">
        <v>0</v>
      </c>
      <c r="P17" s="28"/>
      <c r="Q17" s="28"/>
      <c r="R17" s="28"/>
      <c r="S17" s="28"/>
      <c r="T17" s="28"/>
      <c r="U17" s="28"/>
      <c r="V17" s="28">
        <v>0</v>
      </c>
      <c r="W17" s="28"/>
      <c r="X17" s="28"/>
      <c r="Y17" s="28"/>
      <c r="Z17" s="28"/>
      <c r="AA17" s="28"/>
      <c r="AB17" s="28"/>
      <c r="AC17" s="28"/>
      <c r="AD17" s="29"/>
    </row>
    <row r="18" spans="1:30" s="14" customFormat="1" ht="11.25">
      <c r="A18" s="28" t="s">
        <v>47</v>
      </c>
      <c r="B18" s="27" t="s">
        <v>46</v>
      </c>
      <c r="C18" s="105">
        <f>AVERAGE(E18:AC18)</f>
        <v>0.35718518518518522</v>
      </c>
      <c r="D18" s="28"/>
      <c r="E18" s="98">
        <f>34/1.08/100</f>
        <v>0.31481481481481483</v>
      </c>
      <c r="F18" s="98">
        <f>E18</f>
        <v>0.31481481481481483</v>
      </c>
      <c r="G18" s="98">
        <f t="shared" ref="G18:AC18" si="8">F18</f>
        <v>0.31481481481481483</v>
      </c>
      <c r="H18" s="98">
        <f>H7/100</f>
        <v>0.36296296296296299</v>
      </c>
      <c r="I18" s="98">
        <f t="shared" si="8"/>
        <v>0.36296296296296299</v>
      </c>
      <c r="J18" s="98">
        <f t="shared" si="8"/>
        <v>0.36296296296296299</v>
      </c>
      <c r="K18" s="98">
        <f t="shared" si="8"/>
        <v>0.36296296296296299</v>
      </c>
      <c r="L18" s="98">
        <f t="shared" si="8"/>
        <v>0.36296296296296299</v>
      </c>
      <c r="M18" s="98">
        <f t="shared" si="8"/>
        <v>0.36296296296296299</v>
      </c>
      <c r="N18" s="98">
        <f t="shared" si="8"/>
        <v>0.36296296296296299</v>
      </c>
      <c r="O18" s="98">
        <f t="shared" si="8"/>
        <v>0.36296296296296299</v>
      </c>
      <c r="P18" s="98">
        <f t="shared" si="8"/>
        <v>0.36296296296296299</v>
      </c>
      <c r="Q18" s="98">
        <f t="shared" si="8"/>
        <v>0.36296296296296299</v>
      </c>
      <c r="R18" s="98">
        <f t="shared" si="8"/>
        <v>0.36296296296296299</v>
      </c>
      <c r="S18" s="98">
        <f t="shared" si="8"/>
        <v>0.36296296296296299</v>
      </c>
      <c r="T18" s="98">
        <f t="shared" si="8"/>
        <v>0.36296296296296299</v>
      </c>
      <c r="U18" s="98">
        <f t="shared" si="8"/>
        <v>0.36296296296296299</v>
      </c>
      <c r="V18" s="98">
        <f t="shared" si="8"/>
        <v>0.36296296296296299</v>
      </c>
      <c r="W18" s="98">
        <f t="shared" si="8"/>
        <v>0.36296296296296299</v>
      </c>
      <c r="X18" s="98">
        <f t="shared" si="8"/>
        <v>0.36296296296296299</v>
      </c>
      <c r="Y18" s="98">
        <f t="shared" si="8"/>
        <v>0.36296296296296299</v>
      </c>
      <c r="Z18" s="98">
        <f t="shared" si="8"/>
        <v>0.36296296296296299</v>
      </c>
      <c r="AA18" s="98">
        <f t="shared" si="8"/>
        <v>0.36296296296296299</v>
      </c>
      <c r="AB18" s="98">
        <f t="shared" si="8"/>
        <v>0.36296296296296299</v>
      </c>
      <c r="AC18" s="98">
        <f t="shared" si="8"/>
        <v>0.36296296296296299</v>
      </c>
      <c r="AD18" s="29"/>
    </row>
    <row r="19" spans="1:30" s="14" customFormat="1" ht="11.25">
      <c r="A19" s="28" t="s">
        <v>1</v>
      </c>
      <c r="B19" s="27"/>
      <c r="C19" s="125">
        <f>RATE(C6,-(C23-C28-C30),C4)</f>
        <v>4.9668931753191918E-2</v>
      </c>
      <c r="D19" s="77"/>
      <c r="E19" s="84">
        <v>0.04</v>
      </c>
      <c r="F19" s="102">
        <f t="shared" ref="F19" si="9">E19</f>
        <v>0.04</v>
      </c>
      <c r="G19" s="102">
        <f t="shared" ref="G19" si="10">F19</f>
        <v>0.04</v>
      </c>
      <c r="H19" s="102">
        <v>0.04</v>
      </c>
      <c r="I19" s="102">
        <f t="shared" ref="I19" si="11">H19</f>
        <v>0.04</v>
      </c>
      <c r="J19" s="102">
        <f t="shared" ref="J19:W19" si="12">I19</f>
        <v>0.04</v>
      </c>
      <c r="K19" s="102">
        <f t="shared" si="12"/>
        <v>0.04</v>
      </c>
      <c r="L19" s="102">
        <f t="shared" si="12"/>
        <v>0.04</v>
      </c>
      <c r="M19" s="102">
        <f t="shared" si="12"/>
        <v>0.04</v>
      </c>
      <c r="N19" s="102">
        <f t="shared" si="12"/>
        <v>0.04</v>
      </c>
      <c r="O19" s="102">
        <f t="shared" si="12"/>
        <v>0.04</v>
      </c>
      <c r="P19" s="102">
        <f t="shared" si="12"/>
        <v>0.04</v>
      </c>
      <c r="Q19" s="102">
        <f t="shared" si="12"/>
        <v>0.04</v>
      </c>
      <c r="R19" s="102">
        <f t="shared" si="12"/>
        <v>0.04</v>
      </c>
      <c r="S19" s="102">
        <f t="shared" si="12"/>
        <v>0.04</v>
      </c>
      <c r="T19" s="102">
        <f t="shared" si="12"/>
        <v>0.04</v>
      </c>
      <c r="U19" s="102">
        <f t="shared" si="12"/>
        <v>0.04</v>
      </c>
      <c r="V19" s="102">
        <f t="shared" si="12"/>
        <v>0.04</v>
      </c>
      <c r="W19" s="102">
        <f t="shared" si="12"/>
        <v>0.04</v>
      </c>
      <c r="X19" s="102">
        <f t="shared" ref="X19:AB19" si="13">W19</f>
        <v>0.04</v>
      </c>
      <c r="Y19" s="102">
        <f t="shared" si="13"/>
        <v>0.04</v>
      </c>
      <c r="Z19" s="102">
        <f t="shared" si="13"/>
        <v>0.04</v>
      </c>
      <c r="AA19" s="102">
        <f t="shared" si="13"/>
        <v>0.04</v>
      </c>
      <c r="AB19" s="102">
        <f t="shared" si="13"/>
        <v>0.04</v>
      </c>
      <c r="AC19" s="102">
        <f t="shared" ref="AC19" si="14">AB19</f>
        <v>0.04</v>
      </c>
      <c r="AD19" s="29"/>
    </row>
    <row r="20" spans="1:30" s="14" customFormat="1" ht="11.25">
      <c r="A20" s="28" t="s">
        <v>38</v>
      </c>
      <c r="B20" s="27"/>
      <c r="C20" s="106">
        <f>AVERAGE(E20:AC20)</f>
        <v>932</v>
      </c>
      <c r="D20" s="28"/>
      <c r="E20" s="39">
        <v>980</v>
      </c>
      <c r="F20" s="28">
        <f>E20-4</f>
        <v>976</v>
      </c>
      <c r="G20" s="28">
        <f t="shared" ref="G20:W20" si="15">F20-4</f>
        <v>972</v>
      </c>
      <c r="H20" s="28">
        <f t="shared" si="15"/>
        <v>968</v>
      </c>
      <c r="I20" s="28">
        <f t="shared" si="15"/>
        <v>964</v>
      </c>
      <c r="J20" s="28">
        <f t="shared" si="15"/>
        <v>960</v>
      </c>
      <c r="K20" s="28">
        <f t="shared" si="15"/>
        <v>956</v>
      </c>
      <c r="L20" s="28">
        <f t="shared" si="15"/>
        <v>952</v>
      </c>
      <c r="M20" s="28">
        <f t="shared" si="15"/>
        <v>948</v>
      </c>
      <c r="N20" s="28">
        <f t="shared" si="15"/>
        <v>944</v>
      </c>
      <c r="O20" s="28">
        <f t="shared" si="15"/>
        <v>940</v>
      </c>
      <c r="P20" s="28">
        <f t="shared" si="15"/>
        <v>936</v>
      </c>
      <c r="Q20" s="28">
        <f t="shared" si="15"/>
        <v>932</v>
      </c>
      <c r="R20" s="28">
        <f t="shared" si="15"/>
        <v>928</v>
      </c>
      <c r="S20" s="28">
        <f t="shared" si="15"/>
        <v>924</v>
      </c>
      <c r="T20" s="28">
        <f t="shared" si="15"/>
        <v>920</v>
      </c>
      <c r="U20" s="28">
        <f t="shared" si="15"/>
        <v>916</v>
      </c>
      <c r="V20" s="28">
        <f t="shared" si="15"/>
        <v>912</v>
      </c>
      <c r="W20" s="28">
        <f t="shared" si="15"/>
        <v>908</v>
      </c>
      <c r="X20" s="28">
        <f t="shared" ref="X20" si="16">W20-4</f>
        <v>904</v>
      </c>
      <c r="Y20" s="28">
        <f t="shared" ref="Y20" si="17">X20-4</f>
        <v>900</v>
      </c>
      <c r="Z20" s="28">
        <f t="shared" ref="Z20" si="18">Y20-4</f>
        <v>896</v>
      </c>
      <c r="AA20" s="28">
        <f t="shared" ref="AA20" si="19">Z20-4</f>
        <v>892</v>
      </c>
      <c r="AB20" s="28">
        <f t="shared" ref="AB20:AC20" si="20">AA20-4</f>
        <v>888</v>
      </c>
      <c r="AC20" s="28">
        <f t="shared" si="20"/>
        <v>884</v>
      </c>
      <c r="AD20" s="29">
        <f>SUM(E20:AC20)/25</f>
        <v>932</v>
      </c>
    </row>
    <row r="21" spans="1:30" s="14" customFormat="1" ht="11.25">
      <c r="A21" s="30"/>
      <c r="B21" s="31"/>
      <c r="C21" s="107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</row>
    <row r="22" spans="1:30" s="14" customFormat="1" ht="11.25">
      <c r="A22" s="32" t="s">
        <v>4</v>
      </c>
      <c r="B22" s="85" t="s">
        <v>15</v>
      </c>
      <c r="C22" s="108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</row>
    <row r="23" spans="1:30" s="14" customFormat="1" ht="11.25">
      <c r="A23" s="34" t="s">
        <v>16</v>
      </c>
      <c r="B23" s="116"/>
      <c r="C23" s="106">
        <f>(C18*C20*$C$5)</f>
        <v>143145.53481481483</v>
      </c>
      <c r="D23" s="28">
        <v>0</v>
      </c>
      <c r="E23" s="28">
        <f t="shared" ref="E23:AC23" si="21">(E18*E20*$C$5)</f>
        <v>132662.96296296298</v>
      </c>
      <c r="F23" s="28">
        <f t="shared" si="21"/>
        <v>132121.48148148149</v>
      </c>
      <c r="G23" s="28">
        <f t="shared" si="21"/>
        <v>131580</v>
      </c>
      <c r="H23" s="28">
        <f t="shared" si="21"/>
        <v>151079.70370370374</v>
      </c>
      <c r="I23" s="28">
        <f t="shared" si="21"/>
        <v>150455.40740740742</v>
      </c>
      <c r="J23" s="28">
        <f t="shared" si="21"/>
        <v>149831.11111111112</v>
      </c>
      <c r="K23" s="28">
        <f t="shared" si="21"/>
        <v>149206.81481481483</v>
      </c>
      <c r="L23" s="28">
        <f t="shared" si="21"/>
        <v>148582.51851851854</v>
      </c>
      <c r="M23" s="28">
        <f t="shared" si="21"/>
        <v>147958.22222222222</v>
      </c>
      <c r="N23" s="28">
        <f t="shared" si="21"/>
        <v>147333.92592592593</v>
      </c>
      <c r="O23" s="28">
        <f t="shared" si="21"/>
        <v>146709.62962962964</v>
      </c>
      <c r="P23" s="28">
        <f t="shared" si="21"/>
        <v>146085.33333333334</v>
      </c>
      <c r="Q23" s="28">
        <f t="shared" si="21"/>
        <v>145461.03703703702</v>
      </c>
      <c r="R23" s="28">
        <f t="shared" si="21"/>
        <v>144836.74074074076</v>
      </c>
      <c r="S23" s="28">
        <f t="shared" si="21"/>
        <v>144212.44444444444</v>
      </c>
      <c r="T23" s="28">
        <f t="shared" si="21"/>
        <v>143588.14814814815</v>
      </c>
      <c r="U23" s="28">
        <f t="shared" si="21"/>
        <v>142963.85185185185</v>
      </c>
      <c r="V23" s="28">
        <f t="shared" si="21"/>
        <v>142339.55555555556</v>
      </c>
      <c r="W23" s="28">
        <f t="shared" si="21"/>
        <v>141715.25925925927</v>
      </c>
      <c r="X23" s="28">
        <f t="shared" si="21"/>
        <v>141090.96296296298</v>
      </c>
      <c r="Y23" s="28">
        <f t="shared" si="21"/>
        <v>140466.66666666669</v>
      </c>
      <c r="Z23" s="28">
        <f t="shared" si="21"/>
        <v>139842.37037037036</v>
      </c>
      <c r="AA23" s="28">
        <f t="shared" si="21"/>
        <v>139218.0740740741</v>
      </c>
      <c r="AB23" s="28">
        <f t="shared" si="21"/>
        <v>138593.77777777778</v>
      </c>
      <c r="AC23" s="28">
        <f t="shared" si="21"/>
        <v>137969.48148148149</v>
      </c>
      <c r="AD23" s="29">
        <f>SUM(E23:AC23)/25</f>
        <v>143036.21925925926</v>
      </c>
    </row>
    <row r="24" spans="1:30" s="14" customFormat="1" ht="11.25">
      <c r="A24" s="40"/>
      <c r="B24" s="116"/>
      <c r="C24" s="106"/>
      <c r="D24" s="28"/>
      <c r="E24" s="28"/>
      <c r="F24" s="28"/>
      <c r="G24" s="28"/>
      <c r="H24" s="39">
        <f>G8*10400*0.9</f>
        <v>0</v>
      </c>
      <c r="I24" s="28">
        <f t="shared" ref="I24:W24" si="22">H24</f>
        <v>0</v>
      </c>
      <c r="J24" s="28">
        <f t="shared" si="22"/>
        <v>0</v>
      </c>
      <c r="K24" s="28">
        <f t="shared" si="22"/>
        <v>0</v>
      </c>
      <c r="L24" s="28">
        <f t="shared" si="22"/>
        <v>0</v>
      </c>
      <c r="M24" s="28">
        <f t="shared" si="22"/>
        <v>0</v>
      </c>
      <c r="N24" s="28">
        <f t="shared" si="22"/>
        <v>0</v>
      </c>
      <c r="O24" s="28">
        <f t="shared" si="22"/>
        <v>0</v>
      </c>
      <c r="P24" s="28">
        <f t="shared" si="22"/>
        <v>0</v>
      </c>
      <c r="Q24" s="28">
        <f t="shared" si="22"/>
        <v>0</v>
      </c>
      <c r="R24" s="28">
        <f t="shared" si="22"/>
        <v>0</v>
      </c>
      <c r="S24" s="28">
        <f t="shared" si="22"/>
        <v>0</v>
      </c>
      <c r="T24" s="28">
        <f t="shared" si="22"/>
        <v>0</v>
      </c>
      <c r="U24" s="28">
        <f t="shared" si="22"/>
        <v>0</v>
      </c>
      <c r="V24" s="28">
        <f t="shared" si="22"/>
        <v>0</v>
      </c>
      <c r="W24" s="28">
        <f t="shared" si="22"/>
        <v>0</v>
      </c>
      <c r="X24" s="28">
        <f t="shared" ref="X24" si="23">W24</f>
        <v>0</v>
      </c>
      <c r="Y24" s="28">
        <f t="shared" ref="Y24" si="24">X24</f>
        <v>0</v>
      </c>
      <c r="Z24" s="28">
        <f t="shared" ref="Z24" si="25">Y24</f>
        <v>0</v>
      </c>
      <c r="AA24" s="28">
        <f t="shared" ref="AA24" si="26">Z24</f>
        <v>0</v>
      </c>
      <c r="AB24" s="28">
        <f t="shared" ref="AB24:AC24" si="27">AA24</f>
        <v>0</v>
      </c>
      <c r="AC24" s="28">
        <f t="shared" si="27"/>
        <v>0</v>
      </c>
      <c r="AD24" s="29">
        <f>SUM(F24:AC24)/19</f>
        <v>0</v>
      </c>
    </row>
    <row r="25" spans="1:30" s="14" customFormat="1" ht="11.25">
      <c r="A25" s="26" t="s">
        <v>17</v>
      </c>
      <c r="B25" s="52">
        <v>0</v>
      </c>
      <c r="C25" s="104"/>
      <c r="D25" s="28">
        <v>0</v>
      </c>
      <c r="E25" s="28">
        <f>(E48+D49)*0.02</f>
        <v>0</v>
      </c>
      <c r="F25" s="28">
        <f t="shared" ref="F25:W25" si="28">(F48+E49)*$B25</f>
        <v>0</v>
      </c>
      <c r="G25" s="28">
        <f t="shared" si="28"/>
        <v>0</v>
      </c>
      <c r="H25" s="28">
        <f t="shared" si="28"/>
        <v>0</v>
      </c>
      <c r="I25" s="28">
        <f t="shared" si="28"/>
        <v>0</v>
      </c>
      <c r="J25" s="28">
        <f t="shared" si="28"/>
        <v>0</v>
      </c>
      <c r="K25" s="28">
        <f t="shared" si="28"/>
        <v>0</v>
      </c>
      <c r="L25" s="28">
        <f t="shared" si="28"/>
        <v>0</v>
      </c>
      <c r="M25" s="28">
        <f t="shared" si="28"/>
        <v>0</v>
      </c>
      <c r="N25" s="28">
        <f t="shared" si="28"/>
        <v>0</v>
      </c>
      <c r="O25" s="28">
        <f t="shared" si="28"/>
        <v>0</v>
      </c>
      <c r="P25" s="28">
        <f t="shared" si="28"/>
        <v>0</v>
      </c>
      <c r="Q25" s="28">
        <f t="shared" si="28"/>
        <v>0</v>
      </c>
      <c r="R25" s="28">
        <f t="shared" si="28"/>
        <v>0</v>
      </c>
      <c r="S25" s="28">
        <f t="shared" si="28"/>
        <v>0</v>
      </c>
      <c r="T25" s="28">
        <f t="shared" si="28"/>
        <v>0</v>
      </c>
      <c r="U25" s="28">
        <f t="shared" si="28"/>
        <v>0</v>
      </c>
      <c r="V25" s="28">
        <f t="shared" si="28"/>
        <v>0</v>
      </c>
      <c r="W25" s="28">
        <f t="shared" si="28"/>
        <v>0</v>
      </c>
      <c r="X25" s="28">
        <f t="shared" ref="X25" si="29">(X48+W49)*$B25</f>
        <v>0</v>
      </c>
      <c r="Y25" s="28">
        <f t="shared" ref="Y25" si="30">(Y48+X49)*$B25</f>
        <v>0</v>
      </c>
      <c r="Z25" s="28">
        <f t="shared" ref="Z25" si="31">(Z48+Y49)*$B25</f>
        <v>0</v>
      </c>
      <c r="AA25" s="28">
        <f t="shared" ref="AA25" si="32">(AA48+Z49)*$B25</f>
        <v>0</v>
      </c>
      <c r="AB25" s="28">
        <f t="shared" ref="AB25:AC25" si="33">(AB48+AA49)*$B25</f>
        <v>0</v>
      </c>
      <c r="AC25" s="28">
        <f t="shared" si="33"/>
        <v>0</v>
      </c>
    </row>
    <row r="26" spans="1:30" s="14" customFormat="1" ht="11.25">
      <c r="A26" s="30"/>
      <c r="B26" s="117"/>
      <c r="C26" s="107"/>
      <c r="D26" s="35"/>
      <c r="E26" s="36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</row>
    <row r="27" spans="1:30" s="14" customFormat="1" ht="11.25">
      <c r="A27" s="32" t="s">
        <v>5</v>
      </c>
      <c r="B27" s="118"/>
      <c r="C27" s="108"/>
      <c r="D27" s="37"/>
      <c r="E27" s="38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</row>
    <row r="28" spans="1:30" s="14" customFormat="1" ht="11.25">
      <c r="A28" s="26" t="s">
        <v>18</v>
      </c>
      <c r="B28" s="120">
        <v>5.0000000000000001E-3</v>
      </c>
      <c r="C28" s="106">
        <f>AVERAGE(E28:AC28)</f>
        <v>28129.774399999998</v>
      </c>
      <c r="D28" s="28">
        <v>0</v>
      </c>
      <c r="E28" s="39">
        <f>(C8*G11*C5)</f>
        <v>28053.200000000004</v>
      </c>
      <c r="F28" s="28">
        <f>$C5*$C8*F20+$C5*$C8*F20*$B28</f>
        <v>29524.488000000001</v>
      </c>
      <c r="G28" s="28">
        <f t="shared" ref="G28:AC28" si="34">$C5*$C8*G20+$C5*$C8*G20*$B28</f>
        <v>29403.486000000001</v>
      </c>
      <c r="H28" s="28">
        <f t="shared" si="34"/>
        <v>29282.484000000004</v>
      </c>
      <c r="I28" s="28">
        <f t="shared" si="34"/>
        <v>29161.482</v>
      </c>
      <c r="J28" s="28">
        <f t="shared" si="34"/>
        <v>29040.48</v>
      </c>
      <c r="K28" s="28">
        <f t="shared" si="34"/>
        <v>28919.478000000003</v>
      </c>
      <c r="L28" s="28">
        <f t="shared" si="34"/>
        <v>28798.476000000002</v>
      </c>
      <c r="M28" s="28">
        <f t="shared" si="34"/>
        <v>28677.474000000002</v>
      </c>
      <c r="N28" s="28">
        <f t="shared" si="34"/>
        <v>28556.472000000002</v>
      </c>
      <c r="O28" s="28">
        <f t="shared" si="34"/>
        <v>28435.47</v>
      </c>
      <c r="P28" s="28">
        <f t="shared" si="34"/>
        <v>28314.468000000001</v>
      </c>
      <c r="Q28" s="28">
        <f t="shared" si="34"/>
        <v>28193.466</v>
      </c>
      <c r="R28" s="28">
        <f t="shared" si="34"/>
        <v>28072.464000000004</v>
      </c>
      <c r="S28" s="28">
        <f t="shared" si="34"/>
        <v>27951.462000000003</v>
      </c>
      <c r="T28" s="28">
        <f t="shared" si="34"/>
        <v>27830.46</v>
      </c>
      <c r="U28" s="28">
        <f t="shared" si="34"/>
        <v>27709.458000000002</v>
      </c>
      <c r="V28" s="28">
        <f t="shared" si="34"/>
        <v>27588.456000000002</v>
      </c>
      <c r="W28" s="28">
        <f t="shared" si="34"/>
        <v>27467.454000000002</v>
      </c>
      <c r="X28" s="28">
        <f t="shared" si="34"/>
        <v>27346.452000000001</v>
      </c>
      <c r="Y28" s="28">
        <f t="shared" si="34"/>
        <v>27225.45</v>
      </c>
      <c r="Z28" s="28">
        <f t="shared" si="34"/>
        <v>27104.448000000004</v>
      </c>
      <c r="AA28" s="28">
        <f t="shared" si="34"/>
        <v>26983.446</v>
      </c>
      <c r="AB28" s="28">
        <f t="shared" si="34"/>
        <v>26862.444000000003</v>
      </c>
      <c r="AC28" s="28">
        <f t="shared" si="34"/>
        <v>26741.442000000003</v>
      </c>
    </row>
    <row r="29" spans="1:30" s="14" customFormat="1" ht="11.25">
      <c r="A29" s="40" t="s">
        <v>35</v>
      </c>
      <c r="B29" s="121">
        <v>0.01</v>
      </c>
      <c r="C29" s="106">
        <f>E29</f>
        <v>0</v>
      </c>
      <c r="D29" s="28">
        <v>0</v>
      </c>
      <c r="E29" s="28">
        <v>0</v>
      </c>
      <c r="F29" s="28">
        <f>E29+E29*$B29</f>
        <v>0</v>
      </c>
      <c r="G29" s="28">
        <f t="shared" ref="G29:W29" si="35">F29+F29*$B29</f>
        <v>0</v>
      </c>
      <c r="H29" s="28">
        <f t="shared" si="35"/>
        <v>0</v>
      </c>
      <c r="I29" s="28">
        <f t="shared" si="35"/>
        <v>0</v>
      </c>
      <c r="J29" s="28">
        <f t="shared" si="35"/>
        <v>0</v>
      </c>
      <c r="K29" s="28">
        <f t="shared" si="35"/>
        <v>0</v>
      </c>
      <c r="L29" s="28">
        <f t="shared" si="35"/>
        <v>0</v>
      </c>
      <c r="M29" s="28">
        <f t="shared" si="35"/>
        <v>0</v>
      </c>
      <c r="N29" s="28">
        <f t="shared" si="35"/>
        <v>0</v>
      </c>
      <c r="O29" s="28">
        <f t="shared" si="35"/>
        <v>0</v>
      </c>
      <c r="P29" s="28">
        <f t="shared" si="35"/>
        <v>0</v>
      </c>
      <c r="Q29" s="28">
        <f t="shared" si="35"/>
        <v>0</v>
      </c>
      <c r="R29" s="28">
        <f t="shared" si="35"/>
        <v>0</v>
      </c>
      <c r="S29" s="28">
        <f t="shared" si="35"/>
        <v>0</v>
      </c>
      <c r="T29" s="28">
        <f t="shared" si="35"/>
        <v>0</v>
      </c>
      <c r="U29" s="28">
        <f t="shared" si="35"/>
        <v>0</v>
      </c>
      <c r="V29" s="28">
        <f t="shared" si="35"/>
        <v>0</v>
      </c>
      <c r="W29" s="28">
        <f t="shared" si="35"/>
        <v>0</v>
      </c>
      <c r="X29" s="28">
        <f t="shared" ref="X29:X31" si="36">W29+W29*$B29</f>
        <v>0</v>
      </c>
      <c r="Y29" s="28">
        <f t="shared" ref="Y29:Y31" si="37">X29+X29*$B29</f>
        <v>0</v>
      </c>
      <c r="Z29" s="28">
        <f t="shared" ref="Z29:Z31" si="38">Y29+Y29*$B29</f>
        <v>0</v>
      </c>
      <c r="AA29" s="28">
        <f t="shared" ref="AA29:AA31" si="39">Z29+Z29*$B29</f>
        <v>0</v>
      </c>
      <c r="AB29" s="28">
        <f t="shared" ref="AB29:AC31" si="40">AA29+AA29*$B29</f>
        <v>0</v>
      </c>
      <c r="AC29" s="28">
        <f t="shared" si="40"/>
        <v>0</v>
      </c>
    </row>
    <row r="30" spans="1:30" s="14" customFormat="1" ht="11.25">
      <c r="A30" s="26" t="s">
        <v>36</v>
      </c>
      <c r="B30" s="120">
        <v>0.01</v>
      </c>
      <c r="C30" s="106">
        <f>E30</f>
        <v>10000</v>
      </c>
      <c r="D30" s="28">
        <v>0</v>
      </c>
      <c r="E30" s="39">
        <v>10000</v>
      </c>
      <c r="F30" s="28">
        <f>E30+E30*$B30</f>
        <v>10100</v>
      </c>
      <c r="G30" s="28">
        <f t="shared" ref="G30:W30" si="41">F30+F30*$B30</f>
        <v>10201</v>
      </c>
      <c r="H30" s="28">
        <f t="shared" si="41"/>
        <v>10303.01</v>
      </c>
      <c r="I30" s="28">
        <f t="shared" si="41"/>
        <v>10406.0401</v>
      </c>
      <c r="J30" s="28">
        <f t="shared" si="41"/>
        <v>10510.100501000001</v>
      </c>
      <c r="K30" s="28">
        <f t="shared" si="41"/>
        <v>10615.20150601</v>
      </c>
      <c r="L30" s="28">
        <f t="shared" si="41"/>
        <v>10721.353521070101</v>
      </c>
      <c r="M30" s="28">
        <f t="shared" si="41"/>
        <v>10828.567056280803</v>
      </c>
      <c r="N30" s="28">
        <f t="shared" si="41"/>
        <v>10936.85272684361</v>
      </c>
      <c r="O30" s="28">
        <f t="shared" si="41"/>
        <v>11046.221254112046</v>
      </c>
      <c r="P30" s="28">
        <f t="shared" si="41"/>
        <v>11156.683466653167</v>
      </c>
      <c r="Q30" s="28">
        <f t="shared" si="41"/>
        <v>11268.250301319698</v>
      </c>
      <c r="R30" s="28">
        <f t="shared" si="41"/>
        <v>11380.932804332895</v>
      </c>
      <c r="S30" s="28">
        <f t="shared" si="41"/>
        <v>11494.742132376225</v>
      </c>
      <c r="T30" s="28">
        <f t="shared" si="41"/>
        <v>11609.689553699987</v>
      </c>
      <c r="U30" s="28">
        <f t="shared" si="41"/>
        <v>11725.786449236986</v>
      </c>
      <c r="V30" s="28">
        <f t="shared" si="41"/>
        <v>11843.044313729357</v>
      </c>
      <c r="W30" s="28">
        <f t="shared" si="41"/>
        <v>11961.47475686665</v>
      </c>
      <c r="X30" s="28">
        <f t="shared" si="36"/>
        <v>12081.089504435316</v>
      </c>
      <c r="Y30" s="28">
        <f t="shared" si="37"/>
        <v>12201.900399479669</v>
      </c>
      <c r="Z30" s="28">
        <f t="shared" si="38"/>
        <v>12323.919403474467</v>
      </c>
      <c r="AA30" s="28">
        <f t="shared" si="39"/>
        <v>12447.158597509211</v>
      </c>
      <c r="AB30" s="28">
        <f t="shared" si="40"/>
        <v>12571.630183484303</v>
      </c>
      <c r="AC30" s="28">
        <f t="shared" si="40"/>
        <v>12697.346485319147</v>
      </c>
    </row>
    <row r="31" spans="1:30" s="14" customFormat="1" ht="11.25">
      <c r="A31" s="26"/>
      <c r="B31" s="52"/>
      <c r="C31" s="106">
        <v>0</v>
      </c>
      <c r="D31" s="28">
        <v>0</v>
      </c>
      <c r="E31" s="39">
        <v>0</v>
      </c>
      <c r="F31" s="28">
        <f t="shared" ref="F31:W31" si="42">E31+E31*$B31</f>
        <v>0</v>
      </c>
      <c r="G31" s="28">
        <f t="shared" si="42"/>
        <v>0</v>
      </c>
      <c r="H31" s="28">
        <f t="shared" si="42"/>
        <v>0</v>
      </c>
      <c r="I31" s="28">
        <f t="shared" si="42"/>
        <v>0</v>
      </c>
      <c r="J31" s="28">
        <f t="shared" si="42"/>
        <v>0</v>
      </c>
      <c r="K31" s="28">
        <f t="shared" si="42"/>
        <v>0</v>
      </c>
      <c r="L31" s="28">
        <f t="shared" si="42"/>
        <v>0</v>
      </c>
      <c r="M31" s="28">
        <f t="shared" si="42"/>
        <v>0</v>
      </c>
      <c r="N31" s="28">
        <f t="shared" si="42"/>
        <v>0</v>
      </c>
      <c r="O31" s="28">
        <f t="shared" si="42"/>
        <v>0</v>
      </c>
      <c r="P31" s="28">
        <f t="shared" si="42"/>
        <v>0</v>
      </c>
      <c r="Q31" s="28">
        <f t="shared" si="42"/>
        <v>0</v>
      </c>
      <c r="R31" s="28">
        <f t="shared" si="42"/>
        <v>0</v>
      </c>
      <c r="S31" s="28">
        <f t="shared" si="42"/>
        <v>0</v>
      </c>
      <c r="T31" s="28">
        <f t="shared" si="42"/>
        <v>0</v>
      </c>
      <c r="U31" s="28">
        <f t="shared" si="42"/>
        <v>0</v>
      </c>
      <c r="V31" s="28">
        <f t="shared" si="42"/>
        <v>0</v>
      </c>
      <c r="W31" s="28">
        <f t="shared" si="42"/>
        <v>0</v>
      </c>
      <c r="X31" s="28">
        <f t="shared" si="36"/>
        <v>0</v>
      </c>
      <c r="Y31" s="28">
        <f t="shared" si="37"/>
        <v>0</v>
      </c>
      <c r="Z31" s="28">
        <f t="shared" si="38"/>
        <v>0</v>
      </c>
      <c r="AA31" s="28">
        <f t="shared" si="39"/>
        <v>0</v>
      </c>
      <c r="AB31" s="28">
        <f t="shared" si="40"/>
        <v>0</v>
      </c>
      <c r="AC31" s="28">
        <f t="shared" si="40"/>
        <v>0</v>
      </c>
    </row>
    <row r="32" spans="1:30" s="14" customFormat="1" ht="11.25">
      <c r="A32" s="26" t="s">
        <v>33</v>
      </c>
      <c r="B32" s="52"/>
      <c r="C32" s="106">
        <f>M13*C10</f>
        <v>105015.76536501978</v>
      </c>
      <c r="D32" s="28">
        <v>0</v>
      </c>
      <c r="E32" s="28">
        <f>E19*E45</f>
        <v>35640.241679999999</v>
      </c>
      <c r="F32" s="28">
        <f>F19*F45</f>
        <v>32670.221540000002</v>
      </c>
      <c r="G32" s="28">
        <f t="shared" ref="G32:W32" si="43">G19*G45</f>
        <v>29700.201400000002</v>
      </c>
      <c r="H32" s="28">
        <f t="shared" si="43"/>
        <v>26730.181260000001</v>
      </c>
      <c r="I32" s="28">
        <f t="shared" si="43"/>
        <v>23760.161120000001</v>
      </c>
      <c r="J32" s="28">
        <f t="shared" si="43"/>
        <v>20790.140980000004</v>
      </c>
      <c r="K32" s="28">
        <f t="shared" si="43"/>
        <v>17820.120840000003</v>
      </c>
      <c r="L32" s="28">
        <f t="shared" si="43"/>
        <v>14850.100700000003</v>
      </c>
      <c r="M32" s="28">
        <f t="shared" si="43"/>
        <v>11880.080560000004</v>
      </c>
      <c r="N32" s="28">
        <f t="shared" si="43"/>
        <v>8910.0604200000034</v>
      </c>
      <c r="O32" s="28">
        <f t="shared" si="43"/>
        <v>5940.0402800000038</v>
      </c>
      <c r="P32" s="28">
        <f t="shared" si="43"/>
        <v>2970.0201400000037</v>
      </c>
      <c r="Q32" s="28">
        <f t="shared" si="43"/>
        <v>0</v>
      </c>
      <c r="R32" s="28">
        <f t="shared" si="43"/>
        <v>0</v>
      </c>
      <c r="S32" s="28">
        <f t="shared" si="43"/>
        <v>0</v>
      </c>
      <c r="T32" s="28">
        <f t="shared" si="43"/>
        <v>0</v>
      </c>
      <c r="U32" s="28">
        <f t="shared" si="43"/>
        <v>0</v>
      </c>
      <c r="V32" s="28">
        <f t="shared" si="43"/>
        <v>0</v>
      </c>
      <c r="W32" s="28">
        <f t="shared" si="43"/>
        <v>0</v>
      </c>
      <c r="X32" s="28">
        <f t="shared" ref="X32:AB32" si="44">X19*X45</f>
        <v>0</v>
      </c>
      <c r="Y32" s="28">
        <f t="shared" si="44"/>
        <v>0</v>
      </c>
      <c r="Z32" s="28">
        <f t="shared" si="44"/>
        <v>0</v>
      </c>
      <c r="AA32" s="28">
        <f t="shared" si="44"/>
        <v>0</v>
      </c>
      <c r="AB32" s="28">
        <f t="shared" si="44"/>
        <v>0</v>
      </c>
      <c r="AC32" s="28">
        <f t="shared" ref="AC32" si="45">AC19*AC45</f>
        <v>0</v>
      </c>
    </row>
    <row r="33" spans="1:30" s="14" customFormat="1" ht="11.25">
      <c r="A33" s="26"/>
      <c r="B33" s="27"/>
      <c r="C33" s="106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</row>
    <row r="34" spans="1:30" s="14" customFormat="1" ht="11.25">
      <c r="A34" s="26" t="s">
        <v>6</v>
      </c>
      <c r="B34" s="27"/>
      <c r="C34" s="106">
        <f>C23+C25-C28-C29-C30-C32</f>
        <v>-4.9502049369039014E-3</v>
      </c>
      <c r="D34" s="28">
        <f>D23+D25-D28-D29-D30-D32</f>
        <v>0</v>
      </c>
      <c r="E34" s="28">
        <f>E23+E25-E28-E29-E30-E31-E32</f>
        <v>58969.521282962967</v>
      </c>
      <c r="F34" s="28">
        <f t="shared" ref="F34:W34" si="46">F23+F24+F25-F28-F29-F30-F31-F32</f>
        <v>59826.771941481493</v>
      </c>
      <c r="G34" s="28">
        <f t="shared" si="46"/>
        <v>62275.31259999999</v>
      </c>
      <c r="H34" s="28">
        <f t="shared" si="46"/>
        <v>84764.028443703748</v>
      </c>
      <c r="I34" s="28">
        <f t="shared" si="46"/>
        <v>87127.72418740741</v>
      </c>
      <c r="J34" s="28">
        <f t="shared" si="46"/>
        <v>89490.389630111138</v>
      </c>
      <c r="K34" s="28">
        <f t="shared" si="46"/>
        <v>91852.014468804831</v>
      </c>
      <c r="L34" s="28">
        <f t="shared" si="46"/>
        <v>94212.588297448441</v>
      </c>
      <c r="M34" s="28">
        <f t="shared" si="46"/>
        <v>96572.100605941407</v>
      </c>
      <c r="N34" s="28">
        <f t="shared" si="46"/>
        <v>98930.540779082294</v>
      </c>
      <c r="O34" s="28">
        <f t="shared" si="46"/>
        <v>101287.89809551758</v>
      </c>
      <c r="P34" s="28">
        <f t="shared" si="46"/>
        <v>103644.16172668018</v>
      </c>
      <c r="Q34" s="28">
        <f t="shared" si="46"/>
        <v>105999.32073571732</v>
      </c>
      <c r="R34" s="28">
        <f t="shared" si="46"/>
        <v>105383.34393640785</v>
      </c>
      <c r="S34" s="28">
        <f t="shared" si="46"/>
        <v>104766.24031206821</v>
      </c>
      <c r="T34" s="28">
        <f t="shared" si="46"/>
        <v>104147.99859444817</v>
      </c>
      <c r="U34" s="28">
        <f t="shared" si="46"/>
        <v>103528.60740261487</v>
      </c>
      <c r="V34" s="28">
        <f t="shared" si="46"/>
        <v>102908.05524182619</v>
      </c>
      <c r="W34" s="28">
        <f t="shared" si="46"/>
        <v>102286.33050239262</v>
      </c>
      <c r="X34" s="28">
        <f t="shared" ref="X34:AB34" si="47">X23+X24+X25-X28-X29-X30-X31-X32</f>
        <v>101663.42145852765</v>
      </c>
      <c r="Y34" s="28">
        <f t="shared" si="47"/>
        <v>101039.31626718702</v>
      </c>
      <c r="Z34" s="28">
        <f t="shared" si="47"/>
        <v>100414.00296689589</v>
      </c>
      <c r="AA34" s="28">
        <f t="shared" si="47"/>
        <v>99787.469476564889</v>
      </c>
      <c r="AB34" s="28">
        <f t="shared" si="47"/>
        <v>99159.703594293474</v>
      </c>
      <c r="AC34" s="28">
        <f t="shared" ref="AC34" si="48">AC23+AC24+AC25-AC28-AC29-AC30-AC31-AC32</f>
        <v>98530.692996162339</v>
      </c>
    </row>
    <row r="35" spans="1:30" s="14" customFormat="1" ht="11.25">
      <c r="A35" s="26" t="s">
        <v>7</v>
      </c>
      <c r="B35" s="27"/>
      <c r="C35" s="109"/>
      <c r="D35" s="39">
        <v>0</v>
      </c>
      <c r="E35" s="28">
        <f t="shared" ref="E35:AC35" si="49">IF($C6&gt;D15,($C10)/$C$6,0)</f>
        <v>59400.402800000003</v>
      </c>
      <c r="F35" s="28">
        <f t="shared" si="49"/>
        <v>59400.402800000003</v>
      </c>
      <c r="G35" s="28">
        <f t="shared" si="49"/>
        <v>59400.402800000003</v>
      </c>
      <c r="H35" s="28">
        <f t="shared" si="49"/>
        <v>59400.402800000003</v>
      </c>
      <c r="I35" s="28">
        <f t="shared" si="49"/>
        <v>59400.402800000003</v>
      </c>
      <c r="J35" s="28">
        <f t="shared" si="49"/>
        <v>59400.402800000003</v>
      </c>
      <c r="K35" s="28">
        <f t="shared" si="49"/>
        <v>59400.402800000003</v>
      </c>
      <c r="L35" s="28">
        <f t="shared" si="49"/>
        <v>59400.402800000003</v>
      </c>
      <c r="M35" s="28">
        <f t="shared" si="49"/>
        <v>59400.402800000003</v>
      </c>
      <c r="N35" s="28">
        <f t="shared" si="49"/>
        <v>59400.402800000003</v>
      </c>
      <c r="O35" s="28">
        <f t="shared" si="49"/>
        <v>59400.402800000003</v>
      </c>
      <c r="P35" s="28">
        <f t="shared" si="49"/>
        <v>59400.402800000003</v>
      </c>
      <c r="Q35" s="28">
        <f t="shared" si="49"/>
        <v>59400.402800000003</v>
      </c>
      <c r="R35" s="28">
        <f t="shared" si="49"/>
        <v>59400.402800000003</v>
      </c>
      <c r="S35" s="28">
        <f t="shared" si="49"/>
        <v>59400.402800000003</v>
      </c>
      <c r="T35" s="28">
        <f t="shared" si="49"/>
        <v>59400.402800000003</v>
      </c>
      <c r="U35" s="28">
        <f t="shared" si="49"/>
        <v>59400.402800000003</v>
      </c>
      <c r="V35" s="28">
        <f t="shared" si="49"/>
        <v>59400.402800000003</v>
      </c>
      <c r="W35" s="28">
        <f t="shared" si="49"/>
        <v>59400.402800000003</v>
      </c>
      <c r="X35" s="28">
        <f t="shared" si="49"/>
        <v>59400.402800000003</v>
      </c>
      <c r="Y35" s="28">
        <f t="shared" si="49"/>
        <v>59400.402800000003</v>
      </c>
      <c r="Z35" s="28">
        <f t="shared" si="49"/>
        <v>59400.402800000003</v>
      </c>
      <c r="AA35" s="28">
        <f t="shared" si="49"/>
        <v>59400.402800000003</v>
      </c>
      <c r="AB35" s="28">
        <f t="shared" si="49"/>
        <v>59400.402800000003</v>
      </c>
      <c r="AC35" s="28">
        <f t="shared" si="49"/>
        <v>59400.402800000003</v>
      </c>
      <c r="AD35" s="29">
        <f>SUM(E35:AC35)</f>
        <v>1485010.0700000005</v>
      </c>
    </row>
    <row r="36" spans="1:30" s="14" customFormat="1" ht="11.25">
      <c r="A36" s="26" t="s">
        <v>8</v>
      </c>
      <c r="B36" s="27"/>
      <c r="C36" s="109">
        <v>0</v>
      </c>
      <c r="D36" s="39">
        <v>0</v>
      </c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>
        <v>0</v>
      </c>
      <c r="U36" s="39">
        <v>0</v>
      </c>
      <c r="V36" s="39">
        <v>0</v>
      </c>
      <c r="W36" s="39">
        <v>0</v>
      </c>
      <c r="X36" s="39">
        <v>0</v>
      </c>
      <c r="Y36" s="39">
        <v>0</v>
      </c>
      <c r="Z36" s="39">
        <v>0</v>
      </c>
      <c r="AA36" s="39">
        <v>0</v>
      </c>
      <c r="AB36" s="39">
        <v>0</v>
      </c>
      <c r="AC36" s="39">
        <v>0</v>
      </c>
      <c r="AD36" s="29"/>
    </row>
    <row r="37" spans="1:30" s="44" customFormat="1" ht="11.25">
      <c r="A37" s="41" t="s">
        <v>9</v>
      </c>
      <c r="B37" s="42"/>
      <c r="C37" s="110">
        <f t="shared" ref="C37:W37" si="50">C34-C35-C36</f>
        <v>-4.9502049369039014E-3</v>
      </c>
      <c r="D37" s="43">
        <f t="shared" si="50"/>
        <v>0</v>
      </c>
      <c r="E37" s="43">
        <f t="shared" si="50"/>
        <v>-430.88151703703625</v>
      </c>
      <c r="F37" s="43">
        <f t="shared" si="50"/>
        <v>426.36914148148935</v>
      </c>
      <c r="G37" s="43">
        <f t="shared" si="50"/>
        <v>2874.9097999999867</v>
      </c>
      <c r="H37" s="43">
        <f t="shared" si="50"/>
        <v>25363.625643703745</v>
      </c>
      <c r="I37" s="43">
        <f t="shared" si="50"/>
        <v>27727.321387407406</v>
      </c>
      <c r="J37" s="43">
        <f t="shared" si="50"/>
        <v>30089.986830111135</v>
      </c>
      <c r="K37" s="43">
        <f t="shared" si="50"/>
        <v>32451.611668804828</v>
      </c>
      <c r="L37" s="43">
        <f t="shared" si="50"/>
        <v>34812.185497448438</v>
      </c>
      <c r="M37" s="43">
        <f t="shared" si="50"/>
        <v>37171.697805941403</v>
      </c>
      <c r="N37" s="43">
        <f t="shared" si="50"/>
        <v>39530.13797908229</v>
      </c>
      <c r="O37" s="43">
        <f t="shared" si="50"/>
        <v>41887.495295517576</v>
      </c>
      <c r="P37" s="43">
        <f t="shared" si="50"/>
        <v>44243.758926680173</v>
      </c>
      <c r="Q37" s="43">
        <f t="shared" si="50"/>
        <v>46598.91793571732</v>
      </c>
      <c r="R37" s="43">
        <f t="shared" si="50"/>
        <v>45982.941136407848</v>
      </c>
      <c r="S37" s="43">
        <f t="shared" si="50"/>
        <v>45365.83751206821</v>
      </c>
      <c r="T37" s="43">
        <f t="shared" si="50"/>
        <v>44747.595794448171</v>
      </c>
      <c r="U37" s="43">
        <f t="shared" si="50"/>
        <v>44128.204602614867</v>
      </c>
      <c r="V37" s="43">
        <f t="shared" si="50"/>
        <v>43507.652441826191</v>
      </c>
      <c r="W37" s="43">
        <f t="shared" si="50"/>
        <v>42885.927702392619</v>
      </c>
      <c r="X37" s="43">
        <f t="shared" ref="X37:AB37" si="51">X34-X35-X36</f>
        <v>42263.018658527646</v>
      </c>
      <c r="Y37" s="43">
        <f t="shared" si="51"/>
        <v>41638.91346718702</v>
      </c>
      <c r="Z37" s="43">
        <f t="shared" si="51"/>
        <v>41013.600166895885</v>
      </c>
      <c r="AA37" s="43">
        <f t="shared" si="51"/>
        <v>40387.066676564886</v>
      </c>
      <c r="AB37" s="43">
        <f t="shared" si="51"/>
        <v>39759.300794293471</v>
      </c>
      <c r="AC37" s="43">
        <f t="shared" ref="AC37" si="52">AC34-AC35-AC36</f>
        <v>39130.290196162336</v>
      </c>
    </row>
    <row r="38" spans="1:30" s="14" customFormat="1" ht="11.25">
      <c r="A38" s="45"/>
      <c r="B38" s="46"/>
      <c r="C38" s="111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</row>
    <row r="39" spans="1:30" s="14" customFormat="1" ht="11.25">
      <c r="A39" s="47" t="s">
        <v>24</v>
      </c>
      <c r="B39" s="48"/>
      <c r="C39" s="48"/>
      <c r="D39" s="49"/>
      <c r="E39" s="50">
        <f t="shared" ref="E39:W39" si="53">E37/$C11</f>
        <v>-7.2538484038198506E-4</v>
      </c>
      <c r="F39" s="50">
        <f t="shared" si="53"/>
        <v>7.1778830005086991E-4</v>
      </c>
      <c r="G39" s="50">
        <f t="shared" si="53"/>
        <v>4.8398826682703681E-3</v>
      </c>
      <c r="H39" s="50">
        <f t="shared" si="53"/>
        <v>4.269941691995352E-2</v>
      </c>
      <c r="I39" s="50">
        <f t="shared" si="53"/>
        <v>4.6678675699834485E-2</v>
      </c>
      <c r="J39" s="50">
        <f t="shared" si="53"/>
        <v>5.0656199978009464E-2</v>
      </c>
      <c r="K39" s="50">
        <f t="shared" si="53"/>
        <v>5.4631972409461209E-2</v>
      </c>
      <c r="L39" s="50">
        <f t="shared" si="53"/>
        <v>5.8605975475722591E-2</v>
      </c>
      <c r="M39" s="50">
        <f t="shared" si="53"/>
        <v>6.2578191483141588E-2</v>
      </c>
      <c r="N39" s="50">
        <f t="shared" si="53"/>
        <v>6.6548602561129919E-2</v>
      </c>
      <c r="O39" s="50">
        <f t="shared" si="53"/>
        <v>7.0517190660393247E-2</v>
      </c>
      <c r="P39" s="50">
        <f t="shared" si="53"/>
        <v>7.4483937551144297E-2</v>
      </c>
      <c r="Q39" s="50">
        <f t="shared" si="53"/>
        <v>7.8448824821297877E-2</v>
      </c>
      <c r="R39" s="50">
        <f t="shared" si="53"/>
        <v>7.7411833874648145E-2</v>
      </c>
      <c r="S39" s="50">
        <f t="shared" si="53"/>
        <v>7.637294592902695E-2</v>
      </c>
      <c r="T39" s="50">
        <f t="shared" si="53"/>
        <v>7.5332142014444672E-2</v>
      </c>
      <c r="U39" s="50">
        <f t="shared" si="53"/>
        <v>7.4289402971211616E-2</v>
      </c>
      <c r="V39" s="50">
        <f t="shared" si="53"/>
        <v>7.3244709448041304E-2</v>
      </c>
      <c r="W39" s="50">
        <f t="shared" si="53"/>
        <v>7.2198041900134416E-2</v>
      </c>
      <c r="X39" s="50">
        <f t="shared" ref="X39:AB39" si="54">X37/$C11</f>
        <v>7.1149380587243502E-2</v>
      </c>
      <c r="Y39" s="50">
        <f t="shared" si="54"/>
        <v>7.0098705571718808E-2</v>
      </c>
      <c r="Z39" s="50">
        <f t="shared" si="54"/>
        <v>6.9045996716533845E-2</v>
      </c>
      <c r="AA39" s="50">
        <f t="shared" si="54"/>
        <v>6.7991233683292268E-2</v>
      </c>
      <c r="AB39" s="50">
        <f t="shared" si="54"/>
        <v>6.6934395930213234E-2</v>
      </c>
      <c r="AC39" s="50">
        <f t="shared" ref="AC39" si="55">AC37/$C11</f>
        <v>6.5875462710098545E-2</v>
      </c>
      <c r="AD39" s="51">
        <f>SUM(E39:AC39)/20</f>
        <v>7.3531276251231736E-2</v>
      </c>
    </row>
    <row r="40" spans="1:30" s="14" customFormat="1" ht="11.25" hidden="1">
      <c r="A40" s="41" t="s">
        <v>27</v>
      </c>
      <c r="B40" s="42"/>
      <c r="C40" s="42"/>
      <c r="D40" s="28"/>
      <c r="E40" s="52"/>
      <c r="F40" s="52">
        <f>SUM($E39:F39)/F15</f>
        <v>-3.7982701655575753E-6</v>
      </c>
      <c r="G40" s="52">
        <f>SUM($E39:G39)/G15</f>
        <v>1.6107620426464176E-3</v>
      </c>
      <c r="H40" s="52">
        <f>SUM($E39:H39)/H15</f>
        <v>1.1882925761973194E-2</v>
      </c>
      <c r="I40" s="52">
        <f>SUM($E39:I39)/I15</f>
        <v>1.884207574954545E-2</v>
      </c>
      <c r="J40" s="52">
        <f>SUM($E39:J39)/J15</f>
        <v>2.4144429787622785E-2</v>
      </c>
      <c r="K40" s="52">
        <f>SUM($E39:K39)/K15</f>
        <v>2.849979301931399E-2</v>
      </c>
      <c r="L40" s="52">
        <f>SUM($E39:L39)/L15</f>
        <v>3.2263065826365067E-2</v>
      </c>
      <c r="M40" s="52">
        <f>SUM($E39:M39)/M15</f>
        <v>3.5631413121562455E-2</v>
      </c>
      <c r="N40" s="52">
        <f>SUM($E39:N39)/N15</f>
        <v>3.8723132065519209E-2</v>
      </c>
      <c r="O40" s="52">
        <f>SUM($E39:O39)/O15</f>
        <v>4.1613501028689576E-2</v>
      </c>
      <c r="P40" s="52">
        <f>SUM($E39:P39)/P15</f>
        <v>4.4352704072227467E-2</v>
      </c>
      <c r="Q40" s="52">
        <f>SUM($E39:Q39)/Q15</f>
        <v>4.697548259138673E-2</v>
      </c>
      <c r="R40" s="52">
        <f>SUM($E39:R39)/R15</f>
        <v>4.9149507683048259E-2</v>
      </c>
      <c r="S40" s="52">
        <f>SUM($E39:S39)/S15</f>
        <v>5.0964403566113509E-2</v>
      </c>
      <c r="T40" s="52">
        <f>SUM($E39:T39)/T15</f>
        <v>5.2487387219134207E-2</v>
      </c>
      <c r="U40" s="52">
        <f>SUM($E39:U39)/U15</f>
        <v>5.3769858733962284E-2</v>
      </c>
      <c r="V40" s="52">
        <f>SUM($E39:V39)/V15</f>
        <v>5.4851794884744454E-2</v>
      </c>
      <c r="W40" s="52">
        <f>SUM($E39:W39)/W15</f>
        <v>5.5764755253975506E-2</v>
      </c>
      <c r="X40" s="52">
        <f>SUM($E39:X39)/X15</f>
        <v>5.6533986520638901E-2</v>
      </c>
      <c r="Y40" s="52">
        <f>SUM($E39:Y39)/Y15</f>
        <v>5.717992552307128E-2</v>
      </c>
      <c r="Z40" s="52">
        <f>SUM($E39:Z39)/Z15</f>
        <v>5.7719292395501394E-2</v>
      </c>
      <c r="AA40" s="52">
        <f>SUM($E39:AA39)/AA15</f>
        <v>5.8165898538448821E-2</v>
      </c>
      <c r="AB40" s="52">
        <f>SUM($E39:AB39)/AB15</f>
        <v>5.8531252596439008E-2</v>
      </c>
      <c r="AC40" s="52">
        <f>SUM($E39:AC39)/AC15</f>
        <v>5.882502100098539E-2</v>
      </c>
      <c r="AD40" s="51"/>
    </row>
    <row r="41" spans="1:30" s="14" customFormat="1" ht="11.25" hidden="1">
      <c r="A41" s="41" t="s">
        <v>25</v>
      </c>
      <c r="B41" s="42"/>
      <c r="C41" s="42"/>
      <c r="D41" s="28"/>
      <c r="E41" s="52">
        <f t="shared" ref="E41:W41" si="56">(E37+E32)/$C11</f>
        <v>5.9274615159618009E-2</v>
      </c>
      <c r="F41" s="52">
        <f t="shared" si="56"/>
        <v>5.5717788300050877E-2</v>
      </c>
      <c r="G41" s="52">
        <f t="shared" si="56"/>
        <v>5.4839882668270369E-2</v>
      </c>
      <c r="H41" s="52">
        <f t="shared" si="56"/>
        <v>8.7699416919953518E-2</v>
      </c>
      <c r="I41" s="52">
        <f t="shared" si="56"/>
        <v>8.6678675699834479E-2</v>
      </c>
      <c r="J41" s="52">
        <f t="shared" si="56"/>
        <v>8.5656199978009467E-2</v>
      </c>
      <c r="K41" s="52">
        <f t="shared" si="56"/>
        <v>8.4631972409461215E-2</v>
      </c>
      <c r="L41" s="52">
        <f t="shared" si="56"/>
        <v>8.3605975475722599E-2</v>
      </c>
      <c r="M41" s="52">
        <f t="shared" si="56"/>
        <v>8.2578191483141591E-2</v>
      </c>
      <c r="N41" s="52">
        <f t="shared" si="56"/>
        <v>8.1548602561129918E-2</v>
      </c>
      <c r="O41" s="52">
        <f t="shared" si="56"/>
        <v>8.0517190660393256E-2</v>
      </c>
      <c r="P41" s="52">
        <f t="shared" si="56"/>
        <v>7.9483937551144301E-2</v>
      </c>
      <c r="Q41" s="52">
        <f t="shared" si="56"/>
        <v>7.8448824821297877E-2</v>
      </c>
      <c r="R41" s="52">
        <f t="shared" si="56"/>
        <v>7.7411833874648145E-2</v>
      </c>
      <c r="S41" s="52">
        <f t="shared" si="56"/>
        <v>7.637294592902695E-2</v>
      </c>
      <c r="T41" s="52">
        <f t="shared" si="56"/>
        <v>7.5332142014444672E-2</v>
      </c>
      <c r="U41" s="52">
        <f t="shared" si="56"/>
        <v>7.4289402971211616E-2</v>
      </c>
      <c r="V41" s="52">
        <f t="shared" si="56"/>
        <v>7.3244709448041304E-2</v>
      </c>
      <c r="W41" s="52">
        <f t="shared" si="56"/>
        <v>7.2198041900134416E-2</v>
      </c>
      <c r="X41" s="52">
        <f t="shared" ref="X41:AB41" si="57">(X37+X32)/$C11</f>
        <v>7.1149380587243502E-2</v>
      </c>
      <c r="Y41" s="52">
        <f t="shared" si="57"/>
        <v>7.0098705571718808E-2</v>
      </c>
      <c r="Z41" s="52">
        <f t="shared" si="57"/>
        <v>6.9045996716533845E-2</v>
      </c>
      <c r="AA41" s="52">
        <f t="shared" si="57"/>
        <v>6.7991233683292268E-2</v>
      </c>
      <c r="AB41" s="52">
        <f t="shared" si="57"/>
        <v>6.6934395930213234E-2</v>
      </c>
      <c r="AC41" s="52">
        <f t="shared" ref="AC41" si="58">(AC37+AC32)/$C11</f>
        <v>6.5875462710098545E-2</v>
      </c>
      <c r="AD41" s="51">
        <f>SUM(E41:AC41)/M11</f>
        <v>7.4425021000985372E-2</v>
      </c>
    </row>
    <row r="42" spans="1:30" s="14" customFormat="1" ht="11.25">
      <c r="A42" s="53"/>
      <c r="B42" s="54"/>
      <c r="C42" s="54"/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1"/>
    </row>
    <row r="43" spans="1:30" s="14" customFormat="1" ht="11.25">
      <c r="A43" s="41"/>
      <c r="B43" s="42"/>
      <c r="C43" s="42"/>
      <c r="D43" s="28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1"/>
    </row>
    <row r="44" spans="1:30" s="14" customFormat="1" ht="11.25">
      <c r="A44" s="41"/>
      <c r="B44" s="42"/>
      <c r="C44" s="42"/>
      <c r="D44" s="28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1"/>
    </row>
    <row r="45" spans="1:30" s="14" customFormat="1" ht="11.25">
      <c r="A45" s="26" t="s">
        <v>10</v>
      </c>
      <c r="B45" s="27"/>
      <c r="C45" s="27"/>
      <c r="D45" s="39">
        <v>0</v>
      </c>
      <c r="E45" s="28">
        <f>C12</f>
        <v>891006.04200000002</v>
      </c>
      <c r="F45" s="28">
        <f t="shared" ref="F45:W45" si="59">E45-E46</f>
        <v>816755.53850000002</v>
      </c>
      <c r="G45" s="28">
        <f t="shared" si="59"/>
        <v>742505.03500000003</v>
      </c>
      <c r="H45" s="28">
        <f t="shared" si="59"/>
        <v>668254.53150000004</v>
      </c>
      <c r="I45" s="28">
        <f t="shared" si="59"/>
        <v>594004.02800000005</v>
      </c>
      <c r="J45" s="28">
        <f t="shared" si="59"/>
        <v>519753.52450000006</v>
      </c>
      <c r="K45" s="28">
        <f t="shared" si="59"/>
        <v>445503.02100000007</v>
      </c>
      <c r="L45" s="28">
        <f t="shared" si="59"/>
        <v>371252.51750000007</v>
      </c>
      <c r="M45" s="28">
        <f t="shared" si="59"/>
        <v>297002.01400000008</v>
      </c>
      <c r="N45" s="28">
        <f t="shared" si="59"/>
        <v>222751.51050000009</v>
      </c>
      <c r="O45" s="28">
        <f t="shared" si="59"/>
        <v>148501.0070000001</v>
      </c>
      <c r="P45" s="28">
        <f t="shared" si="59"/>
        <v>74250.503500000093</v>
      </c>
      <c r="Q45" s="28">
        <f t="shared" si="59"/>
        <v>0</v>
      </c>
      <c r="R45" s="28">
        <f t="shared" si="59"/>
        <v>0</v>
      </c>
      <c r="S45" s="28">
        <f t="shared" si="59"/>
        <v>0</v>
      </c>
      <c r="T45" s="28">
        <f t="shared" si="59"/>
        <v>0</v>
      </c>
      <c r="U45" s="28">
        <f t="shared" si="59"/>
        <v>0</v>
      </c>
      <c r="V45" s="28">
        <f t="shared" si="59"/>
        <v>0</v>
      </c>
      <c r="W45" s="28">
        <f t="shared" si="59"/>
        <v>0</v>
      </c>
      <c r="X45" s="28">
        <f t="shared" ref="X45" si="60">W45-W46</f>
        <v>0</v>
      </c>
      <c r="Y45" s="28">
        <f t="shared" ref="Y45" si="61">X45-X46</f>
        <v>0</v>
      </c>
      <c r="Z45" s="28">
        <f t="shared" ref="Z45" si="62">Y45-Y46</f>
        <v>0</v>
      </c>
      <c r="AA45" s="28">
        <f t="shared" ref="AA45" si="63">Z45-Z46</f>
        <v>0</v>
      </c>
      <c r="AB45" s="28">
        <f t="shared" ref="AB45:AC45" si="64">AA45-AA46</f>
        <v>0</v>
      </c>
      <c r="AC45" s="28">
        <f t="shared" si="64"/>
        <v>0</v>
      </c>
    </row>
    <row r="46" spans="1:30" s="14" customFormat="1" ht="11.25">
      <c r="A46" s="34" t="s">
        <v>11</v>
      </c>
      <c r="B46" s="57"/>
      <c r="C46" s="57"/>
      <c r="D46" s="39">
        <v>0</v>
      </c>
      <c r="E46" s="28">
        <f t="shared" ref="E46:AC46" si="65">IF($C7&gt;D15,$C$12/$C7,0)</f>
        <v>74250.503500000006</v>
      </c>
      <c r="F46" s="28">
        <f t="shared" si="65"/>
        <v>74250.503500000006</v>
      </c>
      <c r="G46" s="28">
        <f t="shared" si="65"/>
        <v>74250.503500000006</v>
      </c>
      <c r="H46" s="28">
        <f t="shared" si="65"/>
        <v>74250.503500000006</v>
      </c>
      <c r="I46" s="28">
        <f t="shared" si="65"/>
        <v>74250.503500000006</v>
      </c>
      <c r="J46" s="28">
        <f t="shared" si="65"/>
        <v>74250.503500000006</v>
      </c>
      <c r="K46" s="28">
        <f t="shared" si="65"/>
        <v>74250.503500000006</v>
      </c>
      <c r="L46" s="28">
        <f t="shared" si="65"/>
        <v>74250.503500000006</v>
      </c>
      <c r="M46" s="28">
        <f t="shared" si="65"/>
        <v>74250.503500000006</v>
      </c>
      <c r="N46" s="28">
        <f t="shared" si="65"/>
        <v>74250.503500000006</v>
      </c>
      <c r="O46" s="28">
        <f t="shared" si="65"/>
        <v>74250.503500000006</v>
      </c>
      <c r="P46" s="28">
        <f t="shared" si="65"/>
        <v>74250.503500000006</v>
      </c>
      <c r="Q46" s="28">
        <f t="shared" si="65"/>
        <v>0</v>
      </c>
      <c r="R46" s="28">
        <f t="shared" si="65"/>
        <v>0</v>
      </c>
      <c r="S46" s="28">
        <f t="shared" si="65"/>
        <v>0</v>
      </c>
      <c r="T46" s="28">
        <f t="shared" si="65"/>
        <v>0</v>
      </c>
      <c r="U46" s="28">
        <f t="shared" si="65"/>
        <v>0</v>
      </c>
      <c r="V46" s="28">
        <f t="shared" si="65"/>
        <v>0</v>
      </c>
      <c r="W46" s="28">
        <f t="shared" si="65"/>
        <v>0</v>
      </c>
      <c r="X46" s="28">
        <f t="shared" si="65"/>
        <v>0</v>
      </c>
      <c r="Y46" s="28">
        <f t="shared" si="65"/>
        <v>0</v>
      </c>
      <c r="Z46" s="28">
        <f t="shared" si="65"/>
        <v>0</v>
      </c>
      <c r="AA46" s="28">
        <f t="shared" si="65"/>
        <v>0</v>
      </c>
      <c r="AB46" s="28">
        <f t="shared" si="65"/>
        <v>0</v>
      </c>
      <c r="AC46" s="28">
        <f t="shared" si="65"/>
        <v>0</v>
      </c>
      <c r="AD46" s="29">
        <f>SUM(D46:AC46)</f>
        <v>891006.04200000002</v>
      </c>
    </row>
    <row r="47" spans="1:30" s="14" customFormat="1" ht="11.25">
      <c r="A47" s="26"/>
      <c r="B47" s="27"/>
      <c r="C47" s="27"/>
      <c r="D47" s="39"/>
      <c r="E47" s="28" t="s">
        <v>12</v>
      </c>
      <c r="F47" s="28"/>
      <c r="G47" s="28"/>
      <c r="H47" s="28"/>
      <c r="I47" s="28"/>
      <c r="J47" s="28"/>
      <c r="K47" s="28"/>
      <c r="L47" s="39"/>
      <c r="M47" s="28"/>
      <c r="N47" s="28"/>
      <c r="O47" s="28"/>
      <c r="P47" s="28"/>
      <c r="Q47" s="28"/>
      <c r="R47" s="28"/>
      <c r="S47" s="39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30" s="14" customFormat="1" ht="11.25">
      <c r="A48" s="26" t="s">
        <v>13</v>
      </c>
      <c r="B48" s="27"/>
      <c r="C48" s="27"/>
      <c r="D48" s="39">
        <v>0</v>
      </c>
      <c r="E48" s="28">
        <f>D34+D48-D46</f>
        <v>0</v>
      </c>
      <c r="F48" s="28">
        <f>E34+E48-E46-E17</f>
        <v>-15280.982217037039</v>
      </c>
      <c r="G48" s="28">
        <f t="shared" ref="G48:W48" si="66">F34+F48-F46-F17</f>
        <v>-29704.713775555552</v>
      </c>
      <c r="H48" s="28">
        <f t="shared" si="66"/>
        <v>-41679.904675555568</v>
      </c>
      <c r="I48" s="28">
        <f t="shared" si="66"/>
        <v>-31166.379731851826</v>
      </c>
      <c r="J48" s="28">
        <f t="shared" si="66"/>
        <v>-18289.159044444423</v>
      </c>
      <c r="K48" s="28">
        <f t="shared" si="66"/>
        <v>-3049.2729143332836</v>
      </c>
      <c r="L48" s="28">
        <f t="shared" si="66"/>
        <v>14552.238054471542</v>
      </c>
      <c r="M48" s="28">
        <f t="shared" si="66"/>
        <v>34514.322851919977</v>
      </c>
      <c r="N48" s="28">
        <f t="shared" si="66"/>
        <v>56835.919957861377</v>
      </c>
      <c r="O48" s="28">
        <f t="shared" si="66"/>
        <v>81515.957236943665</v>
      </c>
      <c r="P48" s="28">
        <f t="shared" si="66"/>
        <v>108553.35183246124</v>
      </c>
      <c r="Q48" s="28">
        <f t="shared" si="66"/>
        <v>137947.01005914144</v>
      </c>
      <c r="R48" s="28">
        <f t="shared" si="66"/>
        <v>243946.33079485875</v>
      </c>
      <c r="S48" s="28">
        <f t="shared" si="66"/>
        <v>349329.67473126657</v>
      </c>
      <c r="T48" s="28">
        <f t="shared" si="66"/>
        <v>454095.91504333477</v>
      </c>
      <c r="U48" s="28">
        <f t="shared" si="66"/>
        <v>558243.91363778291</v>
      </c>
      <c r="V48" s="28">
        <f t="shared" si="66"/>
        <v>661772.52104039781</v>
      </c>
      <c r="W48" s="28">
        <f t="shared" si="66"/>
        <v>764680.57628222404</v>
      </c>
      <c r="X48" s="28">
        <f t="shared" ref="X48" si="67">W34+W48-W46-W17</f>
        <v>866966.90678461664</v>
      </c>
      <c r="Y48" s="28">
        <f t="shared" ref="Y48" si="68">X34+X48-X46-X17</f>
        <v>968630.32824314432</v>
      </c>
      <c r="Z48" s="28">
        <f t="shared" ref="Z48" si="69">Y34+Y48-Y46-Y17</f>
        <v>1069669.6445103313</v>
      </c>
      <c r="AA48" s="28">
        <f t="shared" ref="AA48" si="70">Z34+Z48-Z46-Z17</f>
        <v>1170083.6474772273</v>
      </c>
      <c r="AB48" s="28">
        <f t="shared" ref="AB48:AC48" si="71">AA34+AA48-AA46-AA17</f>
        <v>1269871.1169537921</v>
      </c>
      <c r="AC48" s="28">
        <f t="shared" si="71"/>
        <v>1369030.8205480855</v>
      </c>
    </row>
    <row r="49" spans="1:30" s="14" customFormat="1" ht="11.25">
      <c r="A49" s="26" t="s">
        <v>14</v>
      </c>
      <c r="B49" s="27"/>
      <c r="C49" s="27"/>
      <c r="D49" s="39">
        <v>0</v>
      </c>
      <c r="E49" s="28">
        <f t="shared" ref="E49:W49" si="72">D49+E36-E17</f>
        <v>0</v>
      </c>
      <c r="F49" s="28">
        <f t="shared" si="72"/>
        <v>0</v>
      </c>
      <c r="G49" s="28">
        <f t="shared" si="72"/>
        <v>0</v>
      </c>
      <c r="H49" s="28">
        <f t="shared" si="72"/>
        <v>0</v>
      </c>
      <c r="I49" s="28">
        <f t="shared" si="72"/>
        <v>0</v>
      </c>
      <c r="J49" s="28">
        <f t="shared" si="72"/>
        <v>0</v>
      </c>
      <c r="K49" s="28">
        <f t="shared" si="72"/>
        <v>0</v>
      </c>
      <c r="L49" s="28">
        <f t="shared" si="72"/>
        <v>0</v>
      </c>
      <c r="M49" s="28">
        <f t="shared" si="72"/>
        <v>0</v>
      </c>
      <c r="N49" s="28">
        <f t="shared" si="72"/>
        <v>0</v>
      </c>
      <c r="O49" s="28">
        <f t="shared" si="72"/>
        <v>0</v>
      </c>
      <c r="P49" s="28">
        <f t="shared" si="72"/>
        <v>0</v>
      </c>
      <c r="Q49" s="28">
        <f t="shared" si="72"/>
        <v>0</v>
      </c>
      <c r="R49" s="28">
        <f t="shared" si="72"/>
        <v>0</v>
      </c>
      <c r="S49" s="28">
        <f t="shared" si="72"/>
        <v>0</v>
      </c>
      <c r="T49" s="28">
        <f t="shared" si="72"/>
        <v>0</v>
      </c>
      <c r="U49" s="28">
        <f t="shared" si="72"/>
        <v>0</v>
      </c>
      <c r="V49" s="28">
        <f t="shared" si="72"/>
        <v>0</v>
      </c>
      <c r="W49" s="28">
        <f t="shared" si="72"/>
        <v>0</v>
      </c>
      <c r="X49" s="28">
        <f t="shared" ref="X49" si="73">W49+X36-X17</f>
        <v>0</v>
      </c>
      <c r="Y49" s="28">
        <f t="shared" ref="Y49" si="74">X49+Y36-Y17</f>
        <v>0</v>
      </c>
      <c r="Z49" s="28">
        <f t="shared" ref="Z49" si="75">Y49+Z36-Z17</f>
        <v>0</v>
      </c>
      <c r="AA49" s="28">
        <f t="shared" ref="AA49" si="76">Z49+AA36-AA17</f>
        <v>0</v>
      </c>
      <c r="AB49" s="28">
        <f t="shared" ref="AB49:AC49" si="77">AA49+AB36-AB17</f>
        <v>0</v>
      </c>
      <c r="AC49" s="28">
        <f t="shared" si="77"/>
        <v>0</v>
      </c>
    </row>
    <row r="50" spans="1:30" s="14" customFormat="1" ht="11.25">
      <c r="A50" s="26" t="s">
        <v>21</v>
      </c>
      <c r="B50" s="27"/>
      <c r="C50" s="27"/>
      <c r="D50" s="28">
        <f>C10</f>
        <v>1485010.07</v>
      </c>
      <c r="E50" s="28">
        <f t="shared" ref="E50:W50" si="78">D50-E35</f>
        <v>1425609.6672</v>
      </c>
      <c r="F50" s="28">
        <f t="shared" si="78"/>
        <v>1366209.2644</v>
      </c>
      <c r="G50" s="28">
        <f t="shared" si="78"/>
        <v>1306808.8615999999</v>
      </c>
      <c r="H50" s="28">
        <f t="shared" si="78"/>
        <v>1247408.4587999999</v>
      </c>
      <c r="I50" s="28">
        <f t="shared" si="78"/>
        <v>1188008.0559999999</v>
      </c>
      <c r="J50" s="28">
        <f t="shared" si="78"/>
        <v>1128607.6531999998</v>
      </c>
      <c r="K50" s="28">
        <f t="shared" si="78"/>
        <v>1069207.2503999998</v>
      </c>
      <c r="L50" s="28">
        <f t="shared" si="78"/>
        <v>1009806.8475999997</v>
      </c>
      <c r="M50" s="28">
        <f t="shared" si="78"/>
        <v>950406.44479999971</v>
      </c>
      <c r="N50" s="28">
        <f t="shared" si="78"/>
        <v>891006.04199999967</v>
      </c>
      <c r="O50" s="28">
        <f t="shared" si="78"/>
        <v>831605.63919999963</v>
      </c>
      <c r="P50" s="28">
        <f t="shared" si="78"/>
        <v>772205.23639999959</v>
      </c>
      <c r="Q50" s="28">
        <f t="shared" si="78"/>
        <v>712804.83359999955</v>
      </c>
      <c r="R50" s="28">
        <f t="shared" si="78"/>
        <v>653404.43079999951</v>
      </c>
      <c r="S50" s="28">
        <f t="shared" si="78"/>
        <v>594004.02799999947</v>
      </c>
      <c r="T50" s="28">
        <f t="shared" si="78"/>
        <v>534603.62519999943</v>
      </c>
      <c r="U50" s="28">
        <f t="shared" si="78"/>
        <v>475203.22239999945</v>
      </c>
      <c r="V50" s="28">
        <f t="shared" si="78"/>
        <v>415802.81959999946</v>
      </c>
      <c r="W50" s="28">
        <f t="shared" si="78"/>
        <v>356402.41679999948</v>
      </c>
      <c r="X50" s="28">
        <f t="shared" ref="X50" si="79">W50-X35</f>
        <v>297002.0139999995</v>
      </c>
      <c r="Y50" s="28">
        <f t="shared" ref="Y50" si="80">X50-Y35</f>
        <v>237601.61119999949</v>
      </c>
      <c r="Z50" s="28">
        <f t="shared" ref="Z50" si="81">Y50-Z35</f>
        <v>178201.20839999948</v>
      </c>
      <c r="AA50" s="28">
        <f t="shared" ref="AA50" si="82">Z50-AA35</f>
        <v>118800.80559999947</v>
      </c>
      <c r="AB50" s="28">
        <f t="shared" ref="AB50:AC50" si="83">AA50-AB35</f>
        <v>59400.402799999465</v>
      </c>
      <c r="AC50" s="28">
        <f t="shared" si="83"/>
        <v>-5.3842086344957352E-10</v>
      </c>
    </row>
    <row r="51" spans="1:30" s="14" customFormat="1" ht="11.25">
      <c r="A51" s="26" t="s">
        <v>26</v>
      </c>
      <c r="B51" s="28"/>
      <c r="C51" s="28"/>
      <c r="D51" s="28"/>
      <c r="E51" s="28">
        <f>E35</f>
        <v>59400.402800000003</v>
      </c>
      <c r="F51" s="28">
        <f>SUM($E35:F35)</f>
        <v>118800.80560000001</v>
      </c>
      <c r="G51" s="28">
        <f>SUM($E35:G35)</f>
        <v>178201.2084</v>
      </c>
      <c r="H51" s="28">
        <f>SUM($E35:H35)</f>
        <v>237601.61120000001</v>
      </c>
      <c r="I51" s="28">
        <f>SUM($E35:I35)</f>
        <v>297002.01400000002</v>
      </c>
      <c r="J51" s="28">
        <f>SUM($E35:J35)</f>
        <v>356402.41680000001</v>
      </c>
      <c r="K51" s="28">
        <f>SUM($E35:K35)</f>
        <v>415802.81959999999</v>
      </c>
      <c r="L51" s="28">
        <f>SUM($E35:L35)</f>
        <v>475203.22239999997</v>
      </c>
      <c r="M51" s="28">
        <f>SUM($E35:M35)</f>
        <v>534603.62520000001</v>
      </c>
      <c r="N51" s="28">
        <f>SUM($E35:N35)</f>
        <v>594004.02800000005</v>
      </c>
      <c r="O51" s="28">
        <f>SUM($E35:O35)</f>
        <v>653404.43080000009</v>
      </c>
      <c r="P51" s="28">
        <f>SUM($E35:P35)</f>
        <v>712804.83360000013</v>
      </c>
      <c r="Q51" s="28">
        <f>SUM($E35:Q35)</f>
        <v>772205.23640000017</v>
      </c>
      <c r="R51" s="28">
        <f>SUM($E35:R35)</f>
        <v>831605.63920000021</v>
      </c>
      <c r="S51" s="28">
        <f>SUM($E35:S35)</f>
        <v>891006.04200000025</v>
      </c>
      <c r="T51" s="28">
        <f>SUM($E35:T35)</f>
        <v>950406.44480000029</v>
      </c>
      <c r="U51" s="28">
        <f>SUM($E35:U35)</f>
        <v>1009806.8476000003</v>
      </c>
      <c r="V51" s="28">
        <f>SUM($E35:V35)</f>
        <v>1069207.2504000003</v>
      </c>
      <c r="W51" s="28">
        <f>SUM($E35:W35)</f>
        <v>1128607.6532000003</v>
      </c>
      <c r="X51" s="28">
        <f>SUM($E35:X35)</f>
        <v>1188008.0560000003</v>
      </c>
      <c r="Y51" s="28">
        <f>SUM($E35:Y35)</f>
        <v>1247408.4588000004</v>
      </c>
      <c r="Z51" s="28">
        <f>SUM($E35:Z35)</f>
        <v>1306808.8616000004</v>
      </c>
      <c r="AA51" s="28">
        <f>SUM($E35:AA35)</f>
        <v>1366209.2644000005</v>
      </c>
      <c r="AB51" s="28">
        <f>SUM($E35:AB35)</f>
        <v>1425609.6672000005</v>
      </c>
      <c r="AC51" s="28">
        <f>SUM($E35:AC35)</f>
        <v>1485010.0700000005</v>
      </c>
    </row>
    <row r="52" spans="1:30" s="14" customFormat="1" ht="11.25">
      <c r="A52" s="26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</row>
    <row r="53" spans="1:30" s="14" customFormat="1" ht="11.25" hidden="1">
      <c r="A53" s="76" t="s">
        <v>29</v>
      </c>
      <c r="B53" s="28"/>
      <c r="C53" s="28"/>
      <c r="D53" s="28"/>
      <c r="E53" s="58">
        <f>AD39</f>
        <v>7.3531276251231736E-2</v>
      </c>
      <c r="F53" s="58">
        <f t="shared" ref="F53:W53" si="84">E53</f>
        <v>7.3531276251231736E-2</v>
      </c>
      <c r="G53" s="58">
        <f t="shared" si="84"/>
        <v>7.3531276251231736E-2</v>
      </c>
      <c r="H53" s="58">
        <f t="shared" si="84"/>
        <v>7.3531276251231736E-2</v>
      </c>
      <c r="I53" s="58">
        <f t="shared" si="84"/>
        <v>7.3531276251231736E-2</v>
      </c>
      <c r="J53" s="58">
        <f t="shared" si="84"/>
        <v>7.3531276251231736E-2</v>
      </c>
      <c r="K53" s="58">
        <f t="shared" si="84"/>
        <v>7.3531276251231736E-2</v>
      </c>
      <c r="L53" s="58">
        <f t="shared" si="84"/>
        <v>7.3531276251231736E-2</v>
      </c>
      <c r="M53" s="58">
        <f t="shared" si="84"/>
        <v>7.3531276251231736E-2</v>
      </c>
      <c r="N53" s="58">
        <f t="shared" si="84"/>
        <v>7.3531276251231736E-2</v>
      </c>
      <c r="O53" s="58">
        <f t="shared" si="84"/>
        <v>7.3531276251231736E-2</v>
      </c>
      <c r="P53" s="58">
        <f t="shared" si="84"/>
        <v>7.3531276251231736E-2</v>
      </c>
      <c r="Q53" s="58">
        <f t="shared" si="84"/>
        <v>7.3531276251231736E-2</v>
      </c>
      <c r="R53" s="58">
        <f t="shared" si="84"/>
        <v>7.3531276251231736E-2</v>
      </c>
      <c r="S53" s="58">
        <f t="shared" si="84"/>
        <v>7.3531276251231736E-2</v>
      </c>
      <c r="T53" s="58">
        <f t="shared" si="84"/>
        <v>7.3531276251231736E-2</v>
      </c>
      <c r="U53" s="58">
        <f t="shared" si="84"/>
        <v>7.3531276251231736E-2</v>
      </c>
      <c r="V53" s="58">
        <f t="shared" si="84"/>
        <v>7.3531276251231736E-2</v>
      </c>
      <c r="W53" s="58">
        <f t="shared" si="84"/>
        <v>7.3531276251231736E-2</v>
      </c>
      <c r="X53" s="58">
        <f t="shared" ref="X53" si="85">W53</f>
        <v>7.3531276251231736E-2</v>
      </c>
      <c r="Y53" s="58">
        <f t="shared" ref="Y53" si="86">X53</f>
        <v>7.3531276251231736E-2</v>
      </c>
      <c r="Z53" s="58">
        <f t="shared" ref="Z53" si="87">Y53</f>
        <v>7.3531276251231736E-2</v>
      </c>
      <c r="AA53" s="58">
        <f t="shared" ref="AA53" si="88">Z53</f>
        <v>7.3531276251231736E-2</v>
      </c>
      <c r="AB53" s="58">
        <f t="shared" ref="AB53:AC53" si="89">AA53</f>
        <v>7.3531276251231736E-2</v>
      </c>
      <c r="AC53" s="58">
        <f t="shared" si="89"/>
        <v>7.3531276251231736E-2</v>
      </c>
    </row>
    <row r="54" spans="1:30" s="14" customFormat="1" ht="11.25" hidden="1">
      <c r="A54" s="26" t="s">
        <v>28</v>
      </c>
      <c r="B54" s="28"/>
      <c r="C54" s="28"/>
      <c r="D54" s="28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28">
        <f t="shared" ref="O54:W54" si="90">O53*$C$11*O15-O38+O50</f>
        <v>1312062.2562493361</v>
      </c>
      <c r="P54" s="28">
        <f t="shared" si="90"/>
        <v>1296339.7277265484</v>
      </c>
      <c r="Q54" s="28">
        <f t="shared" si="90"/>
        <v>1280617.1992037608</v>
      </c>
      <c r="R54" s="28">
        <f t="shared" si="90"/>
        <v>1264894.670680973</v>
      </c>
      <c r="S54" s="28">
        <f t="shared" si="90"/>
        <v>1249172.1421581854</v>
      </c>
      <c r="T54" s="28">
        <f t="shared" si="90"/>
        <v>1233449.6136353977</v>
      </c>
      <c r="U54" s="28">
        <f t="shared" si="90"/>
        <v>1217727.0851126101</v>
      </c>
      <c r="V54" s="28">
        <f t="shared" si="90"/>
        <v>1202004.5565898228</v>
      </c>
      <c r="W54" s="28">
        <f t="shared" si="90"/>
        <v>1186282.0280670349</v>
      </c>
      <c r="X54" s="28">
        <f t="shared" ref="X54:AB54" si="91">X53*$C$11*X15-X38+X50</f>
        <v>1170559.4995442475</v>
      </c>
      <c r="Y54" s="28">
        <f t="shared" si="91"/>
        <v>1154836.9710214599</v>
      </c>
      <c r="Z54" s="28">
        <f t="shared" si="91"/>
        <v>1139114.4424986721</v>
      </c>
      <c r="AA54" s="28">
        <f t="shared" si="91"/>
        <v>1123391.9139758844</v>
      </c>
      <c r="AB54" s="28">
        <f t="shared" si="91"/>
        <v>1107669.3854530971</v>
      </c>
      <c r="AC54" s="28">
        <f t="shared" ref="AC54" si="92">AC53*$C$11*AC15-AC38+AC50</f>
        <v>1091946.8569303094</v>
      </c>
    </row>
    <row r="55" spans="1:30" s="14" customFormat="1" ht="11.25" hidden="1">
      <c r="A55" s="26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>
        <f t="shared" ref="P55:W55" si="93">O54-P54</f>
        <v>15722.528522787616</v>
      </c>
      <c r="Q55" s="28">
        <f t="shared" si="93"/>
        <v>15722.528522787616</v>
      </c>
      <c r="R55" s="28">
        <f t="shared" si="93"/>
        <v>15722.528522787848</v>
      </c>
      <c r="S55" s="28">
        <f t="shared" si="93"/>
        <v>15722.528522787616</v>
      </c>
      <c r="T55" s="28">
        <f t="shared" si="93"/>
        <v>15722.528522787616</v>
      </c>
      <c r="U55" s="28">
        <f t="shared" si="93"/>
        <v>15722.528522787616</v>
      </c>
      <c r="V55" s="28">
        <f t="shared" si="93"/>
        <v>15722.528522787383</v>
      </c>
      <c r="W55" s="28">
        <f t="shared" si="93"/>
        <v>15722.528522787848</v>
      </c>
      <c r="X55" s="28">
        <f t="shared" ref="X55" si="94">W54-X54</f>
        <v>15722.528522787383</v>
      </c>
      <c r="Y55" s="28">
        <f t="shared" ref="Y55" si="95">X54-Y54</f>
        <v>15722.528522787616</v>
      </c>
      <c r="Z55" s="28">
        <f t="shared" ref="Z55" si="96">Y54-Z54</f>
        <v>15722.528522787848</v>
      </c>
      <c r="AA55" s="28">
        <f t="shared" ref="AA55" si="97">Z54-AA54</f>
        <v>15722.528522787616</v>
      </c>
      <c r="AB55" s="28">
        <f t="shared" ref="AB55:AC55" si="98">AA54-AB54</f>
        <v>15722.528522787383</v>
      </c>
      <c r="AC55" s="28">
        <f t="shared" si="98"/>
        <v>15722.528522787616</v>
      </c>
    </row>
    <row r="56" spans="1:30" s="14" customFormat="1" ht="11.25" hidden="1">
      <c r="A56" s="26" t="s">
        <v>30</v>
      </c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>
        <f>ROUND(S54,-3)</f>
        <v>1249000</v>
      </c>
      <c r="T56" s="28">
        <f>ROUND(T54,-3)</f>
        <v>1233000</v>
      </c>
      <c r="U56" s="28">
        <f>T56-$S57</f>
        <v>1145000</v>
      </c>
      <c r="V56" s="28">
        <f>U56-$S57</f>
        <v>1057000</v>
      </c>
      <c r="W56" s="28">
        <f>V56-$S57</f>
        <v>969000</v>
      </c>
      <c r="X56" s="28">
        <f t="shared" ref="X56:AC56" si="99">W56-$S57</f>
        <v>881000</v>
      </c>
      <c r="Y56" s="28">
        <f t="shared" si="99"/>
        <v>793000</v>
      </c>
      <c r="Z56" s="28">
        <f t="shared" si="99"/>
        <v>705000</v>
      </c>
      <c r="AA56" s="28">
        <f t="shared" si="99"/>
        <v>617000</v>
      </c>
      <c r="AB56" s="28">
        <f t="shared" si="99"/>
        <v>529000</v>
      </c>
      <c r="AC56" s="28">
        <f t="shared" si="99"/>
        <v>441000</v>
      </c>
    </row>
    <row r="57" spans="1:30" s="14" customFormat="1" ht="11.25" hidden="1">
      <c r="A57" s="40" t="s">
        <v>31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>
        <f>ROUND(T56/14,-3)</f>
        <v>88000</v>
      </c>
      <c r="T57" s="60"/>
      <c r="U57" s="28"/>
      <c r="V57" s="28"/>
      <c r="W57" s="28"/>
      <c r="X57" s="28"/>
      <c r="Y57" s="28"/>
      <c r="Z57" s="28"/>
      <c r="AA57" s="28"/>
      <c r="AB57" s="28"/>
      <c r="AC57" s="28"/>
    </row>
    <row r="58" spans="1:30" s="14" customFormat="1" ht="11.25" hidden="1">
      <c r="A58" s="40" t="s">
        <v>34</v>
      </c>
      <c r="B58" s="34"/>
      <c r="C58" s="34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27">
        <f t="shared" ref="S58:W58" si="100">S56/$C10</f>
        <v>0.84107173764821674</v>
      </c>
      <c r="T58" s="27">
        <f t="shared" si="100"/>
        <v>0.83029739993614993</v>
      </c>
      <c r="U58" s="27">
        <f t="shared" si="100"/>
        <v>0.77103854251978232</v>
      </c>
      <c r="V58" s="27">
        <f t="shared" si="100"/>
        <v>0.71177968510341483</v>
      </c>
      <c r="W58" s="27">
        <f t="shared" si="100"/>
        <v>0.65252082768704722</v>
      </c>
      <c r="X58" s="27">
        <f t="shared" ref="X58:AB58" si="101">X56/$C10</f>
        <v>0.59326197027067973</v>
      </c>
      <c r="Y58" s="27">
        <f t="shared" si="101"/>
        <v>0.53400311285431212</v>
      </c>
      <c r="Z58" s="27">
        <f t="shared" si="101"/>
        <v>0.47474425543794457</v>
      </c>
      <c r="AA58" s="27">
        <f t="shared" si="101"/>
        <v>0.41548539802157702</v>
      </c>
      <c r="AB58" s="27">
        <f t="shared" si="101"/>
        <v>0.35622654060520947</v>
      </c>
      <c r="AC58" s="27">
        <f t="shared" ref="AC58" si="102">AC56/$C10</f>
        <v>0.29696768318884192</v>
      </c>
      <c r="AD58" s="29"/>
    </row>
    <row r="59" spans="1:30" s="14" customFormat="1" ht="11.25" hidden="1">
      <c r="A59" s="61"/>
      <c r="B59" s="62"/>
      <c r="C59" s="62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1"/>
      <c r="T59" s="31">
        <f>S58-4%</f>
        <v>0.80107173764821671</v>
      </c>
      <c r="U59" s="31">
        <f>T59-4%</f>
        <v>0.76107173764821667</v>
      </c>
      <c r="V59" s="31">
        <f>U59-4%</f>
        <v>0.72107173764821664</v>
      </c>
      <c r="W59" s="31">
        <f>V59-4%</f>
        <v>0.6810717376482166</v>
      </c>
      <c r="X59" s="31">
        <f t="shared" ref="X59:AB59" si="103">W59-4%</f>
        <v>0.64107173764821657</v>
      </c>
      <c r="Y59" s="31">
        <f t="shared" si="103"/>
        <v>0.60107173764821653</v>
      </c>
      <c r="Z59" s="31">
        <f t="shared" si="103"/>
        <v>0.5610717376482165</v>
      </c>
      <c r="AA59" s="31">
        <f t="shared" si="103"/>
        <v>0.52107173764821646</v>
      </c>
      <c r="AB59" s="31">
        <f t="shared" si="103"/>
        <v>0.48107173764821648</v>
      </c>
      <c r="AC59" s="31">
        <f t="shared" ref="AC59" si="104">AB59-4%</f>
        <v>0.4410717376482165</v>
      </c>
      <c r="AD59" s="29"/>
    </row>
    <row r="60" spans="1:30" s="14" customFormat="1" ht="11.25" hidden="1">
      <c r="A60" s="61"/>
      <c r="B60" s="62"/>
      <c r="C60" s="62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29"/>
    </row>
    <row r="61" spans="1:30" s="14" customFormat="1" ht="11.25">
      <c r="A61" s="63"/>
      <c r="B61" s="63"/>
      <c r="C61" s="63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44"/>
    </row>
    <row r="62" spans="1:30" s="14" customFormat="1" ht="11.25">
      <c r="A62" s="65"/>
      <c r="B62" s="81"/>
      <c r="C62" s="82"/>
      <c r="D62" s="67"/>
      <c r="E62" s="67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68"/>
      <c r="V62" s="44"/>
      <c r="W62" s="44"/>
      <c r="X62" s="44"/>
      <c r="Y62" s="44"/>
      <c r="Z62" s="44"/>
      <c r="AA62" s="44"/>
      <c r="AB62" s="44"/>
      <c r="AC62" s="67"/>
    </row>
    <row r="63" spans="1:30" s="14" customFormat="1" ht="11.25">
      <c r="A63" s="78"/>
      <c r="B63" s="80"/>
      <c r="C63" s="7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</row>
    <row r="64" spans="1:30" s="14" customFormat="1" ht="11.25">
      <c r="A64" s="78"/>
      <c r="B64" s="80"/>
      <c r="C64" s="7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</row>
    <row r="65" spans="1:29" s="14" customFormat="1" ht="11.25">
      <c r="A65" s="65"/>
      <c r="B65" s="66"/>
      <c r="C65" s="44"/>
      <c r="D65" s="67"/>
      <c r="E65" s="67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68"/>
      <c r="V65" s="44"/>
      <c r="W65" s="44"/>
      <c r="X65" s="44"/>
      <c r="Y65" s="44"/>
      <c r="Z65" s="44"/>
      <c r="AA65" s="44"/>
      <c r="AB65" s="44"/>
      <c r="AC65" s="67"/>
    </row>
    <row r="66" spans="1:29" s="14" customFormat="1" ht="11.25">
      <c r="B66" s="69"/>
    </row>
  </sheetData>
  <phoneticPr fontId="5" type="noConversion"/>
  <pageMargins left="0.62992125984251968" right="0.19685039370078741" top="0.78740157480314965" bottom="0.82677165354330717" header="0.51181102362204722" footer="0.51181102362204722"/>
  <pageSetup paperSize="9" scale="53" orientation="landscape" r:id="rId1"/>
  <headerFooter alignWithMargins="0">
    <oddFooter>&amp;LADEV, Liestal&amp;C&amp;F/&amp;Z&amp;R17.03.2011 / JMB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Solarstromanlage Schweiz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ADEV</dc:creator>
  <cp:keywords/>
  <dc:description/>
  <cp:lastModifiedBy>Andreas Appenzeller</cp:lastModifiedBy>
  <cp:lastPrinted>2011-06-16T06:49:28Z</cp:lastPrinted>
  <dcterms:created xsi:type="dcterms:W3CDTF">1999-06-07T11:53:23Z</dcterms:created>
  <dcterms:modified xsi:type="dcterms:W3CDTF">2011-11-07T18:22:50Z</dcterms:modified>
</cp:coreProperties>
</file>