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ml.chartshapes+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resolutionch-my.sharepoint.com/personal/rechsteiner_re-solution_ch/Documents/Documents/Arbeits-Dossiers/aaaaa-vorlesungen-aktuell/0-2026/skripten2026/Excel templates/"/>
    </mc:Choice>
  </mc:AlternateContent>
  <xr:revisionPtr revIDLastSave="43" documentId="8_{67C998BE-05ED-4D2A-A42A-4A9C7EBBE6C5}" xr6:coauthVersionLast="47" xr6:coauthVersionMax="47" xr10:uidLastSave="{4186FD4E-3937-4FF5-A2E4-99F7018B0E93}"/>
  <bookViews>
    <workbookView xWindow="-98" yWindow="-98" windowWidth="21795" windowHeight="13681" activeTab="3" xr2:uid="{853979DD-2E01-4E21-A6D3-D8672301C570}"/>
  </bookViews>
  <sheets>
    <sheet name="anleitung" sheetId="1" r:id="rId1"/>
    <sheet name="Planerfolgsrechnung-Muster (G)" sheetId="2" r:id="rId2"/>
    <sheet name="PBO2026" sheetId="3" r:id="rId3"/>
    <sheet name="Diagramm1" sheetId="4" r:id="rId4"/>
    <sheet name="Diagramm2" sheetId="5" r:id="rId5"/>
  </sheets>
  <definedNames>
    <definedName name="_xlnm.Print_Area" localSheetId="1">'Planerfolgsrechnung-Muster (G)'!$A$3:$AC$58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4" i="2" l="1"/>
  <c r="E4" i="2"/>
  <c r="E5" i="2"/>
  <c r="F5" i="2" s="1"/>
  <c r="H5" i="2" s="1"/>
  <c r="E6" i="2"/>
  <c r="E30" i="2"/>
  <c r="G16" i="2"/>
  <c r="E32" i="2"/>
  <c r="E28" i="2"/>
  <c r="B78" i="2"/>
  <c r="B77" i="2"/>
  <c r="H16" i="2"/>
  <c r="D39" i="2"/>
  <c r="R19" i="2"/>
  <c r="I16" i="2" s="1"/>
  <c r="Q19" i="2"/>
  <c r="N4" i="2"/>
  <c r="N5" i="2"/>
  <c r="N6" i="2"/>
  <c r="N7" i="2"/>
  <c r="N3" i="2"/>
  <c r="F30" i="2" l="1"/>
  <c r="P5" i="2"/>
  <c r="M5" i="2"/>
  <c r="A90" i="2" l="1"/>
  <c r="A89" i="2"/>
  <c r="A88" i="2"/>
  <c r="A87" i="2"/>
  <c r="B79" i="2"/>
  <c r="B80" i="2" s="1"/>
  <c r="B71" i="2"/>
  <c r="F55" i="2"/>
  <c r="G55" i="2" s="1"/>
  <c r="F45" i="2"/>
  <c r="G45" i="2" s="1"/>
  <c r="H45" i="2" s="1"/>
  <c r="I45" i="2" s="1"/>
  <c r="J45" i="2" s="1"/>
  <c r="D37" i="2"/>
  <c r="F33" i="2"/>
  <c r="G33" i="2" s="1"/>
  <c r="H33" i="2" s="1"/>
  <c r="F32" i="2"/>
  <c r="G30" i="2" s="1"/>
  <c r="F28" i="2"/>
  <c r="G28" i="2" s="1"/>
  <c r="H28" i="2" s="1"/>
  <c r="I28" i="2" s="1"/>
  <c r="J28" i="2" s="1"/>
  <c r="K28" i="2" s="1"/>
  <c r="L28" i="2" s="1"/>
  <c r="M28" i="2" s="1"/>
  <c r="N28" i="2" s="1"/>
  <c r="O28" i="2" s="1"/>
  <c r="P28" i="2" s="1"/>
  <c r="Q28" i="2" s="1"/>
  <c r="R28" i="2" s="1"/>
  <c r="S28" i="2" s="1"/>
  <c r="T28" i="2" s="1"/>
  <c r="U28" i="2" s="1"/>
  <c r="V28" i="2" s="1"/>
  <c r="W28" i="2" s="1"/>
  <c r="X28" i="2" s="1"/>
  <c r="Y28" i="2" s="1"/>
  <c r="Z28" i="2" s="1"/>
  <c r="AA28" i="2" s="1"/>
  <c r="AB28" i="2" s="1"/>
  <c r="AC28" i="2" s="1"/>
  <c r="AD28" i="2" s="1"/>
  <c r="AE28" i="2" s="1"/>
  <c r="AF28" i="2" s="1"/>
  <c r="AG28" i="2" s="1"/>
  <c r="AH28" i="2" s="1"/>
  <c r="O26" i="2"/>
  <c r="E25" i="2"/>
  <c r="F25" i="2" s="1"/>
  <c r="G25" i="2" s="1"/>
  <c r="H25" i="2" s="1"/>
  <c r="I25" i="2" s="1"/>
  <c r="J25" i="2" s="1"/>
  <c r="K25" i="2" s="1"/>
  <c r="L25" i="2" s="1"/>
  <c r="M25" i="2" s="1"/>
  <c r="N25" i="2" s="1"/>
  <c r="O25" i="2" s="1"/>
  <c r="P25" i="2" s="1"/>
  <c r="Q25" i="2" s="1"/>
  <c r="R25" i="2" s="1"/>
  <c r="S25" i="2" s="1"/>
  <c r="T25" i="2" s="1"/>
  <c r="U25" i="2" s="1"/>
  <c r="V25" i="2" s="1"/>
  <c r="W25" i="2" s="1"/>
  <c r="X25" i="2" s="1"/>
  <c r="Y25" i="2" s="1"/>
  <c r="Z25" i="2" s="1"/>
  <c r="AA25" i="2" s="1"/>
  <c r="AB25" i="2" s="1"/>
  <c r="AC25" i="2" s="1"/>
  <c r="AD25" i="2" s="1"/>
  <c r="AE25" i="2" s="1"/>
  <c r="AF25" i="2" s="1"/>
  <c r="AG25" i="2" s="1"/>
  <c r="AH25" i="2" s="1"/>
  <c r="H22" i="2"/>
  <c r="H23" i="2" s="1"/>
  <c r="K23" i="2"/>
  <c r="B16" i="2"/>
  <c r="AI58" i="2" s="1"/>
  <c r="U12" i="2"/>
  <c r="U11" i="2"/>
  <c r="U10" i="2"/>
  <c r="U9" i="2"/>
  <c r="U8" i="2"/>
  <c r="U7" i="2"/>
  <c r="E7" i="2"/>
  <c r="F7" i="2" s="1"/>
  <c r="H7" i="2" s="1"/>
  <c r="U6" i="2"/>
  <c r="J6" i="2" s="1"/>
  <c r="F6" i="2"/>
  <c r="H6" i="2" s="1"/>
  <c r="U5" i="2"/>
  <c r="F4" i="2"/>
  <c r="H4" i="2" s="1"/>
  <c r="E3" i="2"/>
  <c r="G32" i="2" l="1"/>
  <c r="H30" i="2" s="1"/>
  <c r="J4" i="2"/>
  <c r="J3" i="2"/>
  <c r="K4" i="2" s="1"/>
  <c r="J5" i="2"/>
  <c r="K5" i="2" s="1"/>
  <c r="E8" i="2"/>
  <c r="F3" i="2"/>
  <c r="F8" i="2" s="1"/>
  <c r="P7" i="2"/>
  <c r="M7" i="2"/>
  <c r="K7" i="2"/>
  <c r="P6" i="2"/>
  <c r="M6" i="2"/>
  <c r="K6" i="2"/>
  <c r="H32" i="2"/>
  <c r="P4" i="2"/>
  <c r="M4" i="2"/>
  <c r="I33" i="2"/>
  <c r="C28" i="2"/>
  <c r="K45" i="2"/>
  <c r="L45" i="2" s="1"/>
  <c r="M45" i="2" s="1"/>
  <c r="N45" i="2" s="1"/>
  <c r="O45" i="2" s="1"/>
  <c r="P45" i="2" s="1"/>
  <c r="Q45" i="2" s="1"/>
  <c r="R45" i="2" s="1"/>
  <c r="S45" i="2" s="1"/>
  <c r="T45" i="2" s="1"/>
  <c r="U45" i="2" s="1"/>
  <c r="V45" i="2" s="1"/>
  <c r="W45" i="2" s="1"/>
  <c r="X45" i="2" s="1"/>
  <c r="Y45" i="2" s="1"/>
  <c r="Z45" i="2" s="1"/>
  <c r="AA45" i="2" s="1"/>
  <c r="AB45" i="2" s="1"/>
  <c r="AC45" i="2" s="1"/>
  <c r="AD45" i="2" s="1"/>
  <c r="AE45" i="2" s="1"/>
  <c r="AF45" i="2" s="1"/>
  <c r="AG45" i="2" s="1"/>
  <c r="AH45" i="2" s="1"/>
  <c r="H55" i="2"/>
  <c r="I55" i="2" s="1"/>
  <c r="J55" i="2" s="1"/>
  <c r="K55" i="2" s="1"/>
  <c r="L55" i="2" s="1"/>
  <c r="M55" i="2" s="1"/>
  <c r="N55" i="2" s="1"/>
  <c r="O55" i="2" s="1"/>
  <c r="P55" i="2" s="1"/>
  <c r="Q55" i="2" s="1"/>
  <c r="R55" i="2" s="1"/>
  <c r="S55" i="2" s="1"/>
  <c r="T55" i="2" s="1"/>
  <c r="U55" i="2" s="1"/>
  <c r="V55" i="2" s="1"/>
  <c r="W55" i="2" s="1"/>
  <c r="X55" i="2" s="1"/>
  <c r="Y55" i="2" s="1"/>
  <c r="Z55" i="2" s="1"/>
  <c r="AA55" i="2" s="1"/>
  <c r="AB55" i="2" s="1"/>
  <c r="AC55" i="2" s="1"/>
  <c r="AD55" i="2" s="1"/>
  <c r="AE55" i="2" s="1"/>
  <c r="AF55" i="2" s="1"/>
  <c r="AG55" i="2" s="1"/>
  <c r="AH55" i="2" s="1"/>
  <c r="D38" i="2"/>
  <c r="E40" i="2"/>
  <c r="P26" i="2"/>
  <c r="I30" i="2" l="1"/>
  <c r="C45" i="2"/>
  <c r="AI44" i="2"/>
  <c r="H3" i="2"/>
  <c r="P3" i="2" s="1"/>
  <c r="P8" i="2" s="1"/>
  <c r="B14" i="2" s="1"/>
  <c r="K3" i="2"/>
  <c r="K8" i="2" s="1"/>
  <c r="B13" i="2" s="1"/>
  <c r="AI39" i="2"/>
  <c r="AI54" i="2"/>
  <c r="Q26" i="2"/>
  <c r="I32" i="2"/>
  <c r="J30" i="2" s="1"/>
  <c r="J33" i="2"/>
  <c r="H8" i="2" l="1"/>
  <c r="H19" i="2" s="1"/>
  <c r="M3" i="2"/>
  <c r="M8" i="2" s="1"/>
  <c r="E34" i="2"/>
  <c r="R26" i="2"/>
  <c r="F34" i="2"/>
  <c r="E39" i="2"/>
  <c r="K33" i="2"/>
  <c r="J32" i="2"/>
  <c r="K30" i="2" s="1"/>
  <c r="B72" i="2"/>
  <c r="B15" i="2"/>
  <c r="R50" i="2" l="1"/>
  <c r="E50" i="2"/>
  <c r="E69" i="2" s="1"/>
  <c r="B75" i="2"/>
  <c r="E35" i="2"/>
  <c r="F38" i="2"/>
  <c r="G34" i="2"/>
  <c r="F37" i="2"/>
  <c r="F35" i="2"/>
  <c r="F39" i="2"/>
  <c r="K32" i="2"/>
  <c r="L30" i="2" s="1"/>
  <c r="L33" i="2"/>
  <c r="S50" i="2"/>
  <c r="S26" i="2"/>
  <c r="O50" i="2"/>
  <c r="G50" i="2"/>
  <c r="M50" i="2"/>
  <c r="L50" i="2"/>
  <c r="K50" i="2"/>
  <c r="J50" i="2"/>
  <c r="I50" i="2"/>
  <c r="H50" i="2"/>
  <c r="B18" i="2"/>
  <c r="S64" i="2" s="1"/>
  <c r="C27" i="2"/>
  <c r="AI27" i="2" s="1"/>
  <c r="N50" i="2"/>
  <c r="F50" i="2"/>
  <c r="B17" i="2"/>
  <c r="P50" i="2"/>
  <c r="Q50" i="2"/>
  <c r="E37" i="2" l="1"/>
  <c r="E44" i="2"/>
  <c r="E38" i="2"/>
  <c r="F41" i="2"/>
  <c r="F69" i="2"/>
  <c r="G69" i="2" s="1"/>
  <c r="H69" i="2" s="1"/>
  <c r="I69" i="2" s="1"/>
  <c r="J69" i="2" s="1"/>
  <c r="K69" i="2" s="1"/>
  <c r="L69" i="2" s="1"/>
  <c r="M69" i="2" s="1"/>
  <c r="N69" i="2" s="1"/>
  <c r="O69" i="2" s="1"/>
  <c r="P69" i="2" s="1"/>
  <c r="Q69" i="2" s="1"/>
  <c r="R69" i="2" s="1"/>
  <c r="S69" i="2" s="1"/>
  <c r="N64" i="2"/>
  <c r="F64" i="2"/>
  <c r="M64" i="2"/>
  <c r="E64" i="2"/>
  <c r="L64" i="2"/>
  <c r="K64" i="2"/>
  <c r="J64" i="2"/>
  <c r="I64" i="2"/>
  <c r="H64" i="2"/>
  <c r="O64" i="2"/>
  <c r="G64" i="2"/>
  <c r="E63" i="2"/>
  <c r="P64" i="2"/>
  <c r="Q64" i="2"/>
  <c r="R64" i="2"/>
  <c r="G38" i="2"/>
  <c r="H34" i="2"/>
  <c r="G37" i="2"/>
  <c r="G35" i="2"/>
  <c r="G39" i="2"/>
  <c r="E68" i="2"/>
  <c r="F68" i="2" s="1"/>
  <c r="G68" i="2" s="1"/>
  <c r="H68" i="2" s="1"/>
  <c r="I68" i="2" s="1"/>
  <c r="J68" i="2" s="1"/>
  <c r="K68" i="2" s="1"/>
  <c r="L68" i="2" s="1"/>
  <c r="M68" i="2" s="1"/>
  <c r="N68" i="2" s="1"/>
  <c r="O68" i="2" s="1"/>
  <c r="P68" i="2" s="1"/>
  <c r="Q68" i="2" s="1"/>
  <c r="R68" i="2" s="1"/>
  <c r="S68" i="2" s="1"/>
  <c r="M33" i="2"/>
  <c r="AI60" i="2"/>
  <c r="T64" i="2"/>
  <c r="T50" i="2"/>
  <c r="T26" i="2"/>
  <c r="L32" i="2"/>
  <c r="M30" i="2" s="1"/>
  <c r="F44" i="2" l="1"/>
  <c r="E47" i="2"/>
  <c r="B84" i="2" s="1"/>
  <c r="E41" i="2"/>
  <c r="T69" i="2"/>
  <c r="T68" i="2"/>
  <c r="M32" i="2"/>
  <c r="N30" i="2" s="1"/>
  <c r="G41" i="2"/>
  <c r="H37" i="2"/>
  <c r="H35" i="2"/>
  <c r="H38" i="2"/>
  <c r="I34" i="2"/>
  <c r="H39" i="2"/>
  <c r="E66" i="2"/>
  <c r="F63" i="2"/>
  <c r="E54" i="2"/>
  <c r="U64" i="2"/>
  <c r="U50" i="2"/>
  <c r="U26" i="2"/>
  <c r="N33" i="2"/>
  <c r="E49" i="2" l="1"/>
  <c r="E52" i="2" s="1"/>
  <c r="U69" i="2"/>
  <c r="F47" i="2"/>
  <c r="F49" i="2" s="1"/>
  <c r="F52" i="2" s="1"/>
  <c r="G44" i="2"/>
  <c r="H41" i="2"/>
  <c r="U68" i="2"/>
  <c r="N32" i="2"/>
  <c r="O30" i="2" s="1"/>
  <c r="V64" i="2"/>
  <c r="V26" i="2"/>
  <c r="V50" i="2"/>
  <c r="V69" i="2" s="1"/>
  <c r="G63" i="2"/>
  <c r="F54" i="2"/>
  <c r="I38" i="2"/>
  <c r="I35" i="2"/>
  <c r="J34" i="2"/>
  <c r="I37" i="2"/>
  <c r="I39" i="2"/>
  <c r="O33" i="2"/>
  <c r="F57" i="2" l="1"/>
  <c r="H44" i="2"/>
  <c r="G47" i="2"/>
  <c r="G49" i="2" s="1"/>
  <c r="G52" i="2" s="1"/>
  <c r="W50" i="2"/>
  <c r="W69" i="2" s="1"/>
  <c r="W64" i="2"/>
  <c r="W26" i="2"/>
  <c r="K34" i="2"/>
  <c r="J37" i="2"/>
  <c r="J35" i="2"/>
  <c r="J38" i="2"/>
  <c r="J39" i="2"/>
  <c r="O32" i="2"/>
  <c r="P30" i="2" s="1"/>
  <c r="P33" i="2"/>
  <c r="I41" i="2"/>
  <c r="H63" i="2"/>
  <c r="G54" i="2"/>
  <c r="V68" i="2"/>
  <c r="I44" i="2" l="1"/>
  <c r="H47" i="2"/>
  <c r="H49" i="2" s="1"/>
  <c r="H52" i="2" s="1"/>
  <c r="W68" i="2"/>
  <c r="J41" i="2"/>
  <c r="L34" i="2"/>
  <c r="K37" i="2"/>
  <c r="K35" i="2"/>
  <c r="K38" i="2"/>
  <c r="K39" i="2"/>
  <c r="Q33" i="2"/>
  <c r="G57" i="2"/>
  <c r="X64" i="2"/>
  <c r="X50" i="2"/>
  <c r="X26" i="2"/>
  <c r="I63" i="2"/>
  <c r="H54" i="2"/>
  <c r="P32" i="2"/>
  <c r="Q30" i="2" s="1"/>
  <c r="H57" i="2" l="1"/>
  <c r="I47" i="2"/>
  <c r="I49" i="2" s="1"/>
  <c r="I52" i="2" s="1"/>
  <c r="J44" i="2"/>
  <c r="X69" i="2"/>
  <c r="Y69" i="2" s="1"/>
  <c r="Z69" i="2" s="1"/>
  <c r="AA69" i="2" s="1"/>
  <c r="AB69" i="2" s="1"/>
  <c r="AC69" i="2" s="1"/>
  <c r="AD69" i="2" s="1"/>
  <c r="AE69" i="2" s="1"/>
  <c r="AF69" i="2" s="1"/>
  <c r="AG69" i="2" s="1"/>
  <c r="AH69" i="2" s="1"/>
  <c r="C50" i="2"/>
  <c r="B88" i="2" s="1"/>
  <c r="K41" i="2"/>
  <c r="R33" i="2"/>
  <c r="J63" i="2"/>
  <c r="I54" i="2"/>
  <c r="X68" i="2"/>
  <c r="Y68" i="2" s="1"/>
  <c r="Z68" i="2" s="1"/>
  <c r="AA68" i="2" s="1"/>
  <c r="AB68" i="2" s="1"/>
  <c r="AC68" i="2" s="1"/>
  <c r="AD68" i="2" s="1"/>
  <c r="AE68" i="2" s="1"/>
  <c r="AF68" i="2" s="1"/>
  <c r="AG68" i="2" s="1"/>
  <c r="AH68" i="2" s="1"/>
  <c r="Y64" i="2"/>
  <c r="Y26" i="2"/>
  <c r="M34" i="2"/>
  <c r="L37" i="2"/>
  <c r="L35" i="2"/>
  <c r="L38" i="2"/>
  <c r="L39" i="2"/>
  <c r="Q32" i="2"/>
  <c r="R30" i="2" s="1"/>
  <c r="K44" i="2" l="1"/>
  <c r="J47" i="2"/>
  <c r="J49" i="2" s="1"/>
  <c r="J52" i="2" s="1"/>
  <c r="L41" i="2"/>
  <c r="K63" i="2"/>
  <c r="J54" i="2"/>
  <c r="J57" i="2" s="1"/>
  <c r="Z64" i="2"/>
  <c r="Z26" i="2"/>
  <c r="S33" i="2"/>
  <c r="N34" i="2"/>
  <c r="M37" i="2"/>
  <c r="M35" i="2"/>
  <c r="M38" i="2"/>
  <c r="M39" i="2"/>
  <c r="I57" i="2"/>
  <c r="R32" i="2"/>
  <c r="S30" i="2" s="1"/>
  <c r="L44" i="2" l="1"/>
  <c r="K47" i="2"/>
  <c r="K49" i="2" s="1"/>
  <c r="K52" i="2" s="1"/>
  <c r="M41" i="2"/>
  <c r="L63" i="2"/>
  <c r="K54" i="2"/>
  <c r="AA64" i="2"/>
  <c r="AA26" i="2"/>
  <c r="N38" i="2"/>
  <c r="O34" i="2"/>
  <c r="N37" i="2"/>
  <c r="N35" i="2"/>
  <c r="N39" i="2"/>
  <c r="T33" i="2"/>
  <c r="S32" i="2"/>
  <c r="T30" i="2" s="1"/>
  <c r="K57" i="2" l="1"/>
  <c r="M44" i="2"/>
  <c r="L47" i="2"/>
  <c r="L49" i="2" s="1"/>
  <c r="L52" i="2" s="1"/>
  <c r="M63" i="2"/>
  <c r="L54" i="2"/>
  <c r="AB64" i="2"/>
  <c r="AB26" i="2"/>
  <c r="U33" i="2"/>
  <c r="N41" i="2"/>
  <c r="T32" i="2"/>
  <c r="U30" i="2" s="1"/>
  <c r="O38" i="2"/>
  <c r="P34" i="2"/>
  <c r="O37" i="2"/>
  <c r="O35" i="2"/>
  <c r="O39" i="2"/>
  <c r="M47" i="2" l="1"/>
  <c r="M49" i="2" s="1"/>
  <c r="M52" i="2" s="1"/>
  <c r="N44" i="2"/>
  <c r="N63" i="2"/>
  <c r="M54" i="2"/>
  <c r="AC64" i="2"/>
  <c r="AC26" i="2"/>
  <c r="V33" i="2"/>
  <c r="L57" i="2"/>
  <c r="U32" i="2"/>
  <c r="V30" i="2" s="1"/>
  <c r="O41" i="2"/>
  <c r="P37" i="2"/>
  <c r="P35" i="2"/>
  <c r="P38" i="2"/>
  <c r="Q34" i="2"/>
  <c r="P39" i="2"/>
  <c r="M57" i="2" l="1"/>
  <c r="O44" i="2"/>
  <c r="N47" i="2"/>
  <c r="N49" i="2" s="1"/>
  <c r="N52" i="2" s="1"/>
  <c r="P41" i="2"/>
  <c r="AD64" i="2"/>
  <c r="AD26" i="2"/>
  <c r="W33" i="2"/>
  <c r="V32" i="2"/>
  <c r="W30" i="2" s="1"/>
  <c r="O63" i="2"/>
  <c r="N54" i="2"/>
  <c r="Q38" i="2"/>
  <c r="Q35" i="2"/>
  <c r="R34" i="2"/>
  <c r="Q37" i="2"/>
  <c r="Q39" i="2"/>
  <c r="N57" i="2" l="1"/>
  <c r="P44" i="2"/>
  <c r="O47" i="2"/>
  <c r="O49" i="2" s="1"/>
  <c r="O52" i="2" s="1"/>
  <c r="Q41" i="2"/>
  <c r="R37" i="2"/>
  <c r="R38" i="2"/>
  <c r="S34" i="2"/>
  <c r="R35" i="2"/>
  <c r="R39" i="2"/>
  <c r="AE64" i="2"/>
  <c r="AE26" i="2"/>
  <c r="X33" i="2"/>
  <c r="W32" i="2"/>
  <c r="X30" i="2" s="1"/>
  <c r="P63" i="2"/>
  <c r="O54" i="2"/>
  <c r="O57" i="2" l="1"/>
  <c r="Q44" i="2"/>
  <c r="P47" i="2"/>
  <c r="P49" i="2" s="1"/>
  <c r="P52" i="2" s="1"/>
  <c r="Q63" i="2"/>
  <c r="P54" i="2"/>
  <c r="AF64" i="2"/>
  <c r="AF26" i="2"/>
  <c r="X32" i="2"/>
  <c r="Y30" i="2" s="1"/>
  <c r="S38" i="2"/>
  <c r="T34" i="2"/>
  <c r="S37" i="2"/>
  <c r="S35" i="2"/>
  <c r="S39" i="2"/>
  <c r="R41" i="2"/>
  <c r="P57" i="2" l="1"/>
  <c r="R44" i="2"/>
  <c r="Q47" i="2"/>
  <c r="Q49" i="2" s="1"/>
  <c r="Q52" i="2" s="1"/>
  <c r="S41" i="2"/>
  <c r="AG64" i="2"/>
  <c r="AG26" i="2"/>
  <c r="T38" i="2"/>
  <c r="U34" i="2"/>
  <c r="T37" i="2"/>
  <c r="T35" i="2"/>
  <c r="T39" i="2"/>
  <c r="R63" i="2"/>
  <c r="Q54" i="2"/>
  <c r="Y32" i="2"/>
  <c r="Z30" i="2" s="1"/>
  <c r="Q57" i="2" l="1"/>
  <c r="S44" i="2"/>
  <c r="R47" i="2"/>
  <c r="R49" i="2" s="1"/>
  <c r="R52" i="2" s="1"/>
  <c r="Z32" i="2"/>
  <c r="AA30" i="2" s="1"/>
  <c r="AH64" i="2"/>
  <c r="AH26" i="2"/>
  <c r="T41" i="2"/>
  <c r="V34" i="2"/>
  <c r="U37" i="2"/>
  <c r="U35" i="2"/>
  <c r="U38" i="2"/>
  <c r="U39" i="2"/>
  <c r="S63" i="2"/>
  <c r="R54" i="2"/>
  <c r="R57" i="2" l="1"/>
  <c r="T44" i="2"/>
  <c r="S47" i="2"/>
  <c r="S49" i="2" s="1"/>
  <c r="S52" i="2" s="1"/>
  <c r="T63" i="2"/>
  <c r="S54" i="2"/>
  <c r="U41" i="2"/>
  <c r="AA32" i="2"/>
  <c r="AB30" i="2" s="1"/>
  <c r="V38" i="2"/>
  <c r="W34" i="2"/>
  <c r="V37" i="2"/>
  <c r="V35" i="2"/>
  <c r="V39" i="2"/>
  <c r="S57" i="2" l="1"/>
  <c r="U44" i="2"/>
  <c r="T47" i="2"/>
  <c r="T49" i="2" s="1"/>
  <c r="T52" i="2" s="1"/>
  <c r="W38" i="2"/>
  <c r="X34" i="2"/>
  <c r="W37" i="2"/>
  <c r="W35" i="2"/>
  <c r="W39" i="2"/>
  <c r="U63" i="2"/>
  <c r="T54" i="2"/>
  <c r="V41" i="2"/>
  <c r="AB32" i="2"/>
  <c r="AC30" i="2" s="1"/>
  <c r="C30" i="2" s="1"/>
  <c r="T57" i="2" l="1"/>
  <c r="V44" i="2"/>
  <c r="U47" i="2"/>
  <c r="U49" i="2" s="1"/>
  <c r="U52" i="2" s="1"/>
  <c r="W41" i="2"/>
  <c r="X37" i="2"/>
  <c r="X35" i="2"/>
  <c r="Y33" i="2"/>
  <c r="Y34" i="2"/>
  <c r="X38" i="2"/>
  <c r="X39" i="2"/>
  <c r="AC32" i="2"/>
  <c r="C32" i="2" s="1"/>
  <c r="V63" i="2"/>
  <c r="U54" i="2"/>
  <c r="W44" i="2" l="1"/>
  <c r="V47" i="2"/>
  <c r="V49" i="2" s="1"/>
  <c r="V52" i="2" s="1"/>
  <c r="U57" i="2"/>
  <c r="AD30" i="2"/>
  <c r="AD32" i="2"/>
  <c r="Z33" i="2"/>
  <c r="X41" i="2"/>
  <c r="Y38" i="2"/>
  <c r="Y35" i="2"/>
  <c r="Z34" i="2"/>
  <c r="Y37" i="2"/>
  <c r="Y39" i="2"/>
  <c r="W63" i="2"/>
  <c r="V54" i="2"/>
  <c r="V57" i="2" l="1"/>
  <c r="X44" i="2"/>
  <c r="W47" i="2"/>
  <c r="W49" i="2" s="1"/>
  <c r="W52" i="2" s="1"/>
  <c r="AE30" i="2"/>
  <c r="Y41" i="2"/>
  <c r="X63" i="2"/>
  <c r="W54" i="2"/>
  <c r="AA33" i="2"/>
  <c r="Z37" i="2"/>
  <c r="Z35" i="2"/>
  <c r="Z38" i="2"/>
  <c r="AA34" i="2"/>
  <c r="Z39" i="2"/>
  <c r="AE32" i="2"/>
  <c r="W57" i="2" l="1"/>
  <c r="X47" i="2"/>
  <c r="X49" i="2" s="1"/>
  <c r="X52" i="2" s="1"/>
  <c r="Y44" i="2"/>
  <c r="AF30" i="2"/>
  <c r="Z41" i="2"/>
  <c r="Y63" i="2"/>
  <c r="X54" i="2"/>
  <c r="AB33" i="2"/>
  <c r="AF32" i="2"/>
  <c r="AA35" i="2"/>
  <c r="AA37" i="2"/>
  <c r="AA38" i="2"/>
  <c r="AB34" i="2"/>
  <c r="AA39" i="2"/>
  <c r="X57" i="2" l="1"/>
  <c r="Z44" i="2"/>
  <c r="Y47" i="2"/>
  <c r="Y49" i="2" s="1"/>
  <c r="Y52" i="2" s="1"/>
  <c r="AG30" i="2"/>
  <c r="AB37" i="2"/>
  <c r="AB38" i="2"/>
  <c r="AC34" i="2"/>
  <c r="AB35" i="2"/>
  <c r="AB39" i="2"/>
  <c r="AG32" i="2"/>
  <c r="Z63" i="2"/>
  <c r="Y54" i="2"/>
  <c r="AA41" i="2"/>
  <c r="AC33" i="2"/>
  <c r="Y57" i="2" l="1"/>
  <c r="AA44" i="2"/>
  <c r="Z47" i="2"/>
  <c r="Z49" i="2" s="1"/>
  <c r="Z52" i="2" s="1"/>
  <c r="AH30" i="2"/>
  <c r="AB41" i="2"/>
  <c r="AH32" i="2"/>
  <c r="AC38" i="2"/>
  <c r="C38" i="2" s="1"/>
  <c r="AD34" i="2"/>
  <c r="AC35" i="2"/>
  <c r="C35" i="2" s="1"/>
  <c r="B76" i="2" s="1"/>
  <c r="B81" i="2" s="1"/>
  <c r="AC37" i="2"/>
  <c r="C37" i="2" s="1"/>
  <c r="AC39" i="2"/>
  <c r="C39" i="2" s="1"/>
  <c r="AA63" i="2"/>
  <c r="Z54" i="2"/>
  <c r="AD33" i="2"/>
  <c r="Z57" i="2" l="1"/>
  <c r="AA47" i="2"/>
  <c r="AA49" i="2" s="1"/>
  <c r="AA52" i="2" s="1"/>
  <c r="AB44" i="2"/>
  <c r="AE33" i="2"/>
  <c r="AC41" i="2"/>
  <c r="AB63" i="2"/>
  <c r="AA54" i="2"/>
  <c r="AA57" i="2" s="1"/>
  <c r="B82" i="2"/>
  <c r="AD38" i="2"/>
  <c r="AE34" i="2"/>
  <c r="AD35" i="2"/>
  <c r="AD37" i="2"/>
  <c r="AD39" i="2"/>
  <c r="AC44" i="2" l="1"/>
  <c r="AB47" i="2"/>
  <c r="AB49" i="2" s="1"/>
  <c r="AB52" i="2" s="1"/>
  <c r="B83" i="2"/>
  <c r="B85" i="2" s="1"/>
  <c r="C41" i="2"/>
  <c r="AE38" i="2"/>
  <c r="AF34" i="2"/>
  <c r="AE37" i="2"/>
  <c r="AE35" i="2"/>
  <c r="AE39" i="2"/>
  <c r="AC63" i="2"/>
  <c r="AB54" i="2"/>
  <c r="AF33" i="2"/>
  <c r="AD41" i="2"/>
  <c r="AB57" i="2" l="1"/>
  <c r="AC47" i="2"/>
  <c r="AD44" i="2"/>
  <c r="C44" i="2"/>
  <c r="AE41" i="2"/>
  <c r="AF37" i="2"/>
  <c r="AF35" i="2"/>
  <c r="AF38" i="2"/>
  <c r="AG34" i="2"/>
  <c r="AF39" i="2"/>
  <c r="AD63" i="2"/>
  <c r="AC54" i="2"/>
  <c r="AG33" i="2"/>
  <c r="AD47" i="2" l="1"/>
  <c r="AD49" i="2" s="1"/>
  <c r="AD52" i="2" s="1"/>
  <c r="AE44" i="2"/>
  <c r="C47" i="2"/>
  <c r="C33" i="2" s="1"/>
  <c r="AC49" i="2"/>
  <c r="AH33" i="2"/>
  <c r="AG38" i="2"/>
  <c r="AG35" i="2"/>
  <c r="AH34" i="2"/>
  <c r="AG37" i="2"/>
  <c r="AG39" i="2"/>
  <c r="AF41" i="2"/>
  <c r="AE63" i="2"/>
  <c r="AD54" i="2"/>
  <c r="AD57" i="2" l="1"/>
  <c r="AC52" i="2"/>
  <c r="AC57" i="2" s="1"/>
  <c r="C49" i="2"/>
  <c r="B87" i="2" s="1"/>
  <c r="AF44" i="2"/>
  <c r="AE47" i="2"/>
  <c r="AE49" i="2" s="1"/>
  <c r="AE52" i="2" s="1"/>
  <c r="AF63" i="2"/>
  <c r="AE54" i="2"/>
  <c r="AG41" i="2"/>
  <c r="AH37" i="2"/>
  <c r="AH38" i="2"/>
  <c r="AI37" i="2" s="1"/>
  <c r="AH35" i="2"/>
  <c r="AJ35" i="2" s="1"/>
  <c r="AI61" i="2" s="1"/>
  <c r="C34" i="2"/>
  <c r="AH39" i="2"/>
  <c r="AI38" i="2" s="1"/>
  <c r="AE57" i="2" l="1"/>
  <c r="AF47" i="2"/>
  <c r="AF49" i="2" s="1"/>
  <c r="AF52" i="2" s="1"/>
  <c r="AG44" i="2"/>
  <c r="AI59" i="2"/>
  <c r="AH41" i="2"/>
  <c r="AG63" i="2"/>
  <c r="AF54" i="2"/>
  <c r="AF57" i="2" l="1"/>
  <c r="AG47" i="2"/>
  <c r="AG49" i="2" s="1"/>
  <c r="AG52" i="2" s="1"/>
  <c r="AH44" i="2"/>
  <c r="AH47" i="2" s="1"/>
  <c r="AH49" i="2" s="1"/>
  <c r="AH52" i="2" s="1"/>
  <c r="AH63" i="2"/>
  <c r="AH54" i="2" s="1"/>
  <c r="AG54" i="2"/>
  <c r="AG57" i="2" l="1"/>
  <c r="C54" i="2"/>
  <c r="AH57" i="2"/>
  <c r="B73" i="2"/>
  <c r="B74" i="2" s="1"/>
  <c r="B86" i="2"/>
  <c r="C52" i="2"/>
  <c r="E57" i="2"/>
  <c r="F66" i="2" s="1"/>
  <c r="G66" i="2" s="1"/>
  <c r="H66" i="2" s="1"/>
  <c r="I66" i="2" s="1"/>
  <c r="J66" i="2" s="1"/>
  <c r="K66" i="2" s="1"/>
  <c r="L66" i="2" s="1"/>
  <c r="M66" i="2" s="1"/>
  <c r="N66" i="2" s="1"/>
  <c r="O66" i="2" s="1"/>
  <c r="P66" i="2" s="1"/>
  <c r="Q66" i="2" s="1"/>
  <c r="R66" i="2" s="1"/>
  <c r="S66" i="2" s="1"/>
  <c r="T66" i="2" s="1"/>
  <c r="U66" i="2" s="1"/>
  <c r="V66" i="2" s="1"/>
  <c r="W66" i="2" s="1"/>
  <c r="X66" i="2" s="1"/>
  <c r="Y66" i="2" s="1"/>
  <c r="Z66" i="2" s="1"/>
  <c r="AA66" i="2" s="1"/>
  <c r="AB66" i="2" s="1"/>
  <c r="AC66" i="2" s="1"/>
  <c r="AD66" i="2" s="1"/>
  <c r="AE66" i="2" s="1"/>
  <c r="AF66" i="2" s="1"/>
  <c r="AG66" i="2" s="1"/>
  <c r="AH66" i="2" s="1"/>
  <c r="C57" i="2" l="1"/>
  <c r="C59" i="2" s="1"/>
  <c r="B90" i="2" s="1"/>
  <c r="B89"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Bernhard Schmocker</author>
  </authors>
  <commentList>
    <comment ref="Y50" authorId="0" shapeId="0" xr:uid="{89FD60E1-1874-4017-ABCA-E49ED559CDBE}">
      <text>
        <r>
          <rPr>
            <b/>
            <sz val="9"/>
            <color indexed="81"/>
            <rFont val="Tahoma"/>
            <family val="2"/>
          </rPr>
          <t>Bernhard Schmocker:</t>
        </r>
        <r>
          <rPr>
            <sz val="9"/>
            <color indexed="81"/>
            <rFont val="Tahoma"/>
            <family val="2"/>
          </rPr>
          <t xml:space="preserve">
Abschreibung so wählen, dass Eigenkapitalredite (Zeile 50) mindestens 4%</t>
        </r>
      </text>
    </comment>
  </commentList>
</comments>
</file>

<file path=xl/sharedStrings.xml><?xml version="1.0" encoding="utf-8"?>
<sst xmlns="http://schemas.openxmlformats.org/spreadsheetml/2006/main" count="237" uniqueCount="188">
  <si>
    <t>Füllen Sie Ihre Projektdaten in das Formular und überprüfen Sie die Formeln, rektifizieren Sie Magentazahlen und beantworten Sie die Fragen in der Power Point !</t>
  </si>
  <si>
    <t>Empfohlenes Vorgehen</t>
  </si>
  <si>
    <t xml:space="preserve">Schritt </t>
  </si>
  <si>
    <t>verschaffen Sie sich einen Überblick</t>
  </si>
  <si>
    <t>Anleitung</t>
  </si>
  <si>
    <t>Planerfolgsrechnung</t>
  </si>
  <si>
    <t xml:space="preserve">Leistungen des Bundes </t>
  </si>
  <si>
    <t>Magenta-Werte: Werte, die Sie auf Basis Ihrer eigenen Kenntnisse eintragen sollen.</t>
  </si>
  <si>
    <t>(zum Beispiel 1 Fussballplatz = 105x68 Meter = 7140 m2, 7142 = theoretisch 1428 kW Leistung, praktisch aber nur etwa gut die Hälfte (750 kW) wegen Verschattung)</t>
  </si>
  <si>
    <t>Vergütungen bestehen aus drei Elementen</t>
  </si>
  <si>
    <t>HKN und LEG bestimmen die Zusatzerträge bei Direktverkauf von Strom oder Öko-Herkunfts-Zertifikaten</t>
  </si>
  <si>
    <t>Kommentieren Sie das Projekt</t>
  </si>
  <si>
    <t xml:space="preserve">Länge m </t>
  </si>
  <si>
    <t>Breite m</t>
  </si>
  <si>
    <t xml:space="preserve">kalkulierte Leistung kWpeak </t>
  </si>
  <si>
    <t>Preisklasse</t>
  </si>
  <si>
    <t>Kosten CHF/kW</t>
  </si>
  <si>
    <t xml:space="preserve">Bruttokosten 
CHF/Anlage </t>
  </si>
  <si>
    <t>zu erwartende Jahresproduktion kWh/a</t>
  </si>
  <si>
    <t>Einmalvergütung 
CHF/kW</t>
  </si>
  <si>
    <t>Bonus</t>
  </si>
  <si>
    <r>
      <t>Investitionskosten nach Leistungsgrösse (2025): Daten aus Preisbeobachtungsstudie (PBO25)</t>
    </r>
    <r>
      <rPr>
        <b/>
        <vertAlign val="superscript"/>
        <sz val="8"/>
        <rFont val="Arial"/>
        <family val="2"/>
      </rPr>
      <t>a</t>
    </r>
    <r>
      <rPr>
        <b/>
        <sz val="8"/>
        <rFont val="Arial"/>
        <family val="2"/>
      </rPr>
      <t xml:space="preserve"> des BFE Link  </t>
    </r>
  </si>
  <si>
    <t>Einmalvergütung und Boni ge,äss Energieförderverordnung EnFV</t>
  </si>
  <si>
    <t xml:space="preserve">Fläche 1 </t>
  </si>
  <si>
    <t>m2</t>
  </si>
  <si>
    <t xml:space="preserve">Leistungsbereich </t>
  </si>
  <si>
    <t>Kosten Hardware</t>
  </si>
  <si>
    <r>
      <t>Begleit-Kosten</t>
    </r>
    <r>
      <rPr>
        <vertAlign val="superscript"/>
        <sz val="8"/>
        <rFont val="Arial"/>
        <family val="2"/>
      </rPr>
      <t>b</t>
    </r>
    <r>
      <rPr>
        <sz val="8"/>
        <rFont val="Arial"/>
        <family val="2"/>
      </rPr>
      <t xml:space="preserve"> </t>
    </r>
  </si>
  <si>
    <t>Gesamt-Kosten</t>
  </si>
  <si>
    <t>Einmalvergütung</t>
  </si>
  <si>
    <t>Neigungswinkelbonus</t>
  </si>
  <si>
    <t>Parkflächenbonus</t>
  </si>
  <si>
    <t>Höhenbonus</t>
  </si>
  <si>
    <t xml:space="preserve">Fläche 2 </t>
  </si>
  <si>
    <t>kW</t>
  </si>
  <si>
    <t>CHF/kW</t>
  </si>
  <si>
    <t>Fäche 3</t>
  </si>
  <si>
    <t>2-10</t>
  </si>
  <si>
    <t>Fäche 5</t>
  </si>
  <si>
    <t>10-30</t>
  </si>
  <si>
    <t>30-100</t>
  </si>
  <si>
    <t>total Fläche</t>
  </si>
  <si>
    <t>100-300</t>
  </si>
  <si>
    <t>h/a</t>
  </si>
  <si>
    <t>300-1000</t>
  </si>
  <si>
    <t>Korrekturfaktor Agri PV mindestens 50% bis 90%</t>
  </si>
  <si>
    <t>&gt; 1000</t>
  </si>
  <si>
    <t>Korrekturfaktor Dachflächen un Fassaden mindestens 10%</t>
  </si>
  <si>
    <t>Faltdach, Carports</t>
  </si>
  <si>
    <t>Fassaden-Anlagen  einfach</t>
  </si>
  <si>
    <t>Investition</t>
  </si>
  <si>
    <t>CHF</t>
  </si>
  <si>
    <t>Dieser Abschnitt dient der Kalkulation der Wirtschaftlichkeit</t>
  </si>
  <si>
    <t>Ziel: 3.5% mind. Gesamtkapitalrendite jährlich erreichen</t>
  </si>
  <si>
    <r>
      <rPr>
        <vertAlign val="superscript"/>
        <sz val="8"/>
        <rFont val="Arial"/>
        <family val="2"/>
      </rPr>
      <t>b</t>
    </r>
    <r>
      <rPr>
        <sz val="8"/>
        <rFont val="Arial"/>
        <family val="2"/>
      </rPr>
      <t xml:space="preserve"> Planung, Verbrauchssteuerung, ZEV-Einrichtung gemäss PBO</t>
    </r>
  </si>
  <si>
    <t>Nettoinvestition</t>
  </si>
  <si>
    <t>Haushalte</t>
  </si>
  <si>
    <t>https://www.strompreis.elcom.admin.ch/map</t>
  </si>
  <si>
    <t>Gewerbe</t>
  </si>
  <si>
    <t>Industrie</t>
  </si>
  <si>
    <t xml:space="preserve">Abnahmepreise </t>
  </si>
  <si>
    <t>https://www.vese.ch/pvtarif/#MapTitle</t>
  </si>
  <si>
    <t>Steuerersparnis 20% von Inv. (nur natürliche Personen)</t>
  </si>
  <si>
    <t>kWp</t>
  </si>
  <si>
    <t>Betrachtungszeitraum</t>
  </si>
  <si>
    <t>Jahre</t>
  </si>
  <si>
    <t>Annuität  Solaranlage</t>
  </si>
  <si>
    <t>Abschreibungsdauer</t>
  </si>
  <si>
    <t>Eigenverbrauch</t>
  </si>
  <si>
    <t>Amortisation Fremdkapital</t>
  </si>
  <si>
    <t>Rückspeisung in Netz</t>
  </si>
  <si>
    <t>Zins Fremdkapital</t>
  </si>
  <si>
    <t>Verkauf Solarstrom / HKN</t>
  </si>
  <si>
    <t>Annuität</t>
  </si>
  <si>
    <t>Geldflüsse</t>
  </si>
  <si>
    <t>Planrechnung</t>
  </si>
  <si>
    <t>Kosten und Ertrag total</t>
  </si>
  <si>
    <t>Produktion total</t>
  </si>
  <si>
    <t>gesparter Strompreis dank Eigenverbrauch</t>
  </si>
  <si>
    <t>CHF/kWh</t>
  </si>
  <si>
    <t xml:space="preserve">   Teuerung Eigenverbrauch 30%</t>
  </si>
  <si>
    <t>Gesamtkapitalrendite / Zinssatz Fremdmittel</t>
  </si>
  <si>
    <t>Solarertrag [kWh/kW.a)</t>
  </si>
  <si>
    <t>kWh/a</t>
  </si>
  <si>
    <t>Jahresertrag kWh/a</t>
  </si>
  <si>
    <t>Ertrag</t>
  </si>
  <si>
    <t>Steuerabzug</t>
  </si>
  <si>
    <t>Total Ertrag</t>
  </si>
  <si>
    <t>Aufwand</t>
  </si>
  <si>
    <t>Delta/a</t>
  </si>
  <si>
    <t xml:space="preserve">Wartung, Instandhaltung </t>
  </si>
  <si>
    <t>Geschäftsführung</t>
  </si>
  <si>
    <t>Finanzrechnung</t>
  </si>
  <si>
    <t xml:space="preserve">Betriebskosten </t>
  </si>
  <si>
    <t>EBITDA [Ergebnis vor Zinsen, Steuern und Abschreibungen]</t>
  </si>
  <si>
    <t>Zinsen</t>
  </si>
  <si>
    <t>Steuern (Gewerbe-, Gewinn, Kapital etc.)</t>
  </si>
  <si>
    <t>Steuerreduktion</t>
  </si>
  <si>
    <t>Schätzung IRR i(nternal rate of return) 
gemessen am Eigenkapital</t>
  </si>
  <si>
    <t>Summe Geldflüsse</t>
  </si>
  <si>
    <t>Summe aller Ausgaben</t>
  </si>
  <si>
    <t>Gestehungskosten pro kWh</t>
  </si>
  <si>
    <t>Stand Fremdmittel 1.1.</t>
  </si>
  <si>
    <t>Amortisation Fremdmittel per 31.12.</t>
  </si>
  <si>
    <t>.</t>
  </si>
  <si>
    <t>Stand Flüssige Mittel 1.1.</t>
  </si>
  <si>
    <t>Stand Erneuerungsrückstellungen 31.12</t>
  </si>
  <si>
    <t>Netto-Buchwert Anlage 31.12.</t>
  </si>
  <si>
    <t>Summe Abschreibungen</t>
  </si>
  <si>
    <t xml:space="preserve">Kennzahlen </t>
  </si>
  <si>
    <t>Brutto-Investition</t>
  </si>
  <si>
    <t>Einmalvergütung inkl. Boni</t>
  </si>
  <si>
    <t>Anteil Einmalvergütung inkl. Boni</t>
  </si>
  <si>
    <t>%</t>
  </si>
  <si>
    <t>Netto-Investition</t>
  </si>
  <si>
    <t>Jahresproduktion Mittelwert</t>
  </si>
  <si>
    <t>Abnahmepreis Netzeinspeisung inkl. HKN</t>
  </si>
  <si>
    <t>Einsparung dank Eigenverbrauch</t>
  </si>
  <si>
    <t>CHF/a</t>
  </si>
  <si>
    <t>Erlös Netzeinspeisung</t>
  </si>
  <si>
    <t>Total Jahreserlös</t>
  </si>
  <si>
    <t>Betriebskosten (Zinsen und Unterhalt)</t>
  </si>
  <si>
    <t>finanzieller Rücklauf pro Jahr</t>
  </si>
  <si>
    <t>*Payback-Zeit = Anfängliche Investition / Durchschnittlicher jährlicher Rückfluss</t>
  </si>
  <si>
    <t>grüne Werte = Standardwerte, generelle Annahmen (die im Einzelfall aber anders ausfallen können) und Erklärungen</t>
  </si>
  <si>
    <r>
      <t xml:space="preserve">Template Wirtschaftlichkeit Solarstromanlage </t>
    </r>
    <r>
      <rPr>
        <b/>
        <sz val="16"/>
        <color rgb="FF7030A0"/>
        <rFont val="Arial"/>
        <family val="2"/>
      </rPr>
      <t xml:space="preserve">(mit Platzhaltern) </t>
    </r>
  </si>
  <si>
    <t>Setzen Sie die Projekt-Masse ein</t>
  </si>
  <si>
    <t>Ermitteln Sie die Nutzflächen mittels google maps (rechter Mausklick)</t>
  </si>
  <si>
    <t xml:space="preserve">Füllen Sie die Daten ein </t>
  </si>
  <si>
    <t xml:space="preserve">Berechnen Sie die Investitionskosten und ermitteln Sie den zu erwartenden Ertrag </t>
  </si>
  <si>
    <t>Machen Sie eine Schätzung und fügen Sie die Angaben für den geschätzten Eigenverbrauch und die Vergütungen ein</t>
  </si>
  <si>
    <t>a</t>
  </si>
  <si>
    <t>b</t>
  </si>
  <si>
    <t>c</t>
  </si>
  <si>
    <t>Überprüfen Sie die Berechnungsformeln SORGFÄLTIG, auch auf Kommafehler in den Zahlen</t>
  </si>
  <si>
    <r>
      <t xml:space="preserve">HKN Herkunftsnachweise (im englischen Sprachraum </t>
    </r>
    <r>
      <rPr>
        <i/>
        <sz val="9"/>
        <rFont val="Arial"/>
        <family val="2"/>
      </rPr>
      <t>Guarantees of Origin</t>
    </r>
    <r>
      <rPr>
        <sz val="9"/>
        <rFont val="Arial"/>
        <family val="2"/>
      </rPr>
      <t xml:space="preserve"> oder </t>
    </r>
    <r>
      <rPr>
        <i/>
        <sz val="9"/>
        <rFont val="Arial"/>
        <family val="2"/>
      </rPr>
      <t>GOs</t>
    </r>
    <r>
      <rPr>
        <sz val="9"/>
        <rFont val="Arial"/>
        <family val="2"/>
      </rPr>
      <t xml:space="preserve">) sind elektronische Zertifikate, die belegen, wie, wo und wann eine Megawattstunde (MWh) bzw. Kilowattstunde (kWh) Strom aus erneuerbaren Energien erzeugt und in das Netz eingespeist wurde. Da Strom im physischen Stromnetz nicht unterscheidbar ist, wird die </t>
    </r>
    <r>
      <rPr>
        <b/>
        <sz val="9"/>
        <rFont val="Arial"/>
        <family val="2"/>
      </rPr>
      <t>ökologische Qualität (der ökologische Mehrwert)</t>
    </r>
    <r>
      <rPr>
        <sz val="9"/>
        <rFont val="Arial"/>
        <family val="2"/>
      </rPr>
      <t xml:space="preserve"> durch den HKN vom eigentlichen Stromfluss entkoppelt und eigenständig handelbar gemacht.</t>
    </r>
  </si>
  <si>
    <t>Summe Einmalvergütung +Bonus CHF/Teilfläche</t>
  </si>
  <si>
    <t>Link</t>
  </si>
  <si>
    <r>
      <rPr>
        <vertAlign val="superscript"/>
        <sz val="8"/>
        <rFont val="Arial"/>
        <family val="2"/>
      </rPr>
      <t>a</t>
    </r>
    <r>
      <rPr>
        <sz val="8"/>
        <rFont val="Arial"/>
        <family val="2"/>
      </rPr>
      <t xml:space="preserve"> Preisbeobachtungsstudie PBO25: </t>
    </r>
  </si>
  <si>
    <t>Leiten Sie aus den Flächendaten die Leistung der PV-Anlage ab und verknüpfen Sie diese mit den korrekten Kostendaten (Tabelle U4 bis U10) 
und den geschätzten Einbussen zwischen theoretischem Ertrag und zu erwartendem Ertrag</t>
  </si>
  <si>
    <t>theoretische Leistung (Fläche m2/5)</t>
  </si>
  <si>
    <t>Korektur-Faktor in %
(Verschattungen, Abstände</t>
  </si>
  <si>
    <r>
      <t>Fläche m</t>
    </r>
    <r>
      <rPr>
        <b/>
        <vertAlign val="superscript"/>
        <sz val="7"/>
        <rFont val="Arial"/>
        <family val="2"/>
      </rPr>
      <t>2</t>
    </r>
  </si>
  <si>
    <t>Fäche 4</t>
  </si>
  <si>
    <t xml:space="preserve">stellen Sie Plausibilität her durch vergleichende Prüfverfahren </t>
  </si>
  <si>
    <r>
      <rPr>
        <b/>
        <sz val="10"/>
        <rFont val="Arial"/>
        <family val="2"/>
      </rPr>
      <t xml:space="preserve">Bezugspreise nach Gemeinde </t>
    </r>
    <r>
      <rPr>
        <sz val="10"/>
        <rFont val="Arial"/>
        <family val="2"/>
      </rPr>
      <t>bestimmen die eingesparten Stromkosten bei Eigenverbrauch</t>
    </r>
  </si>
  <si>
    <r>
      <rPr>
        <b/>
        <sz val="10"/>
        <rFont val="Arial"/>
        <family val="2"/>
      </rPr>
      <t xml:space="preserve">Abnahmepreise des Netzbetreibers und das Bundesrecht </t>
    </r>
    <r>
      <rPr>
        <sz val="10"/>
        <rFont val="Arial"/>
        <family val="2"/>
      </rPr>
      <t>bestimmen die Vergütung bei Netzeinspeisung</t>
    </r>
  </si>
  <si>
    <t>Beantworten Sie den Fragenkatalog (Word File)</t>
  </si>
  <si>
    <t>Fakultativ, falls noch zeit bleibt: Nennen Sie die Vertragsbeziehungen, die einer due diligence unterliegen</t>
  </si>
  <si>
    <t>Steuerersparnis 
(Faustregel: 20% v. Investition bei privaten Haushalten</t>
  </si>
  <si>
    <t>Kapitalbedarf 2: Fremdkapital 70% (Hypothek oder Bankkredit)</t>
  </si>
  <si>
    <t>Kapitalbedarf: Eigenkapital 30% (eigene Mittel oder Contracting)</t>
  </si>
  <si>
    <t>Wartungs-&amp;Instandh'aufwand 0,02-0,035</t>
  </si>
  <si>
    <t>Korrekturfaktor Neigungswinkel &gt; 75° mindestens 50%</t>
  </si>
  <si>
    <t>Eimmalvergütung (gemäss EnFV 2026) (P8)</t>
  </si>
  <si>
    <t>Vollaststunden 
pro Jahr h/a
(Quelle BFE/STEE)*</t>
  </si>
  <si>
    <t>Jahresstunden (BFE-Statistik erneuerbare Energien 2025)</t>
  </si>
  <si>
    <t xml:space="preserve">Gemeinde </t>
  </si>
  <si>
    <t>Zürich</t>
  </si>
  <si>
    <t>Netzbetreiber</t>
  </si>
  <si>
    <t>EWZ</t>
  </si>
  <si>
    <t>total</t>
  </si>
  <si>
    <t>Tarif Netzebene 7</t>
  </si>
  <si>
    <t>Abzug fixe Tarifanteile</t>
  </si>
  <si>
    <t>eingesparter variabler Tarif</t>
  </si>
  <si>
    <t>varibler Tarif (Q20) Rp/kWh</t>
  </si>
  <si>
    <t>Eigenverbrauchsanteil (Schätzung)</t>
  </si>
  <si>
    <t>Energie</t>
  </si>
  <si>
    <t>HKN Herkunftsnachweis</t>
  </si>
  <si>
    <t>Standardtarif 2027 Rp/kWh</t>
  </si>
  <si>
    <t>Abnahmepreis Rp/kWh</t>
  </si>
  <si>
    <t>Abnahmepreis inkl. HKN</t>
  </si>
  <si>
    <t>Mittelwert 2026-2055</t>
  </si>
  <si>
    <t>Leistung (gewichtet nach Abzügen Verschattung usw.)</t>
  </si>
  <si>
    <t>Herkunftsnachweis (HKN) oder LEG</t>
  </si>
  <si>
    <t>HKN/LEG</t>
  </si>
  <si>
    <t>Stromtarif variabler Anteil</t>
  </si>
  <si>
    <t>EBIT (Earnings before interest and taxes)</t>
  </si>
  <si>
    <t>Paybackzeit in Jahren</t>
  </si>
  <si>
    <t>Nettogewinn pro Jahr über die Lebensdauer 30 Jahre</t>
  </si>
  <si>
    <t>Verkauf Energie ins Netz</t>
  </si>
  <si>
    <t>Verkauf Solarstrom Herkunftsnachweis HKN und/oder LEG</t>
  </si>
  <si>
    <t xml:space="preserve">Abnahmepreis Energie exkl. MWST </t>
  </si>
  <si>
    <t>Verwendung für  Eigenverbrauch</t>
  </si>
  <si>
    <t>Verwendung für Netzeinspeisung</t>
  </si>
  <si>
    <t>Abschreibung (linear 20 Jahre)</t>
  </si>
  <si>
    <t>Liquidität</t>
  </si>
  <si>
    <t>Projektname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</si>
</sst>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
    <numFmt numFmtId="165" formatCode="0.0%"/>
    <numFmt numFmtId="166" formatCode="#,##0.000"/>
    <numFmt numFmtId="167" formatCode="_-* #,##0_-;\-* #,##0_-;_-* &quot;-&quot;??_-;_-@_-"/>
    <numFmt numFmtId="168" formatCode="0.000%"/>
    <numFmt numFmtId="169" formatCode="_-* #,##0.000_-;\-* #,##0.000_-;_-* &quot;-&quot;??_-;_-@_-"/>
  </numFmts>
  <fonts count="41">
    <font>
      <sz val="10"/>
      <name val="Arial"/>
      <family val="2"/>
    </font>
    <font>
      <sz val="11"/>
      <color theme="1"/>
      <name val="Calibri"/>
      <family val="2"/>
      <scheme val="minor"/>
    </font>
    <font>
      <sz val="10"/>
      <name val="Arial"/>
      <family val="2"/>
    </font>
    <font>
      <u/>
      <sz val="10"/>
      <color theme="10"/>
      <name val="Arial"/>
      <family val="2"/>
    </font>
    <font>
      <sz val="10"/>
      <color rgb="FFFF00FF"/>
      <name val="Arial"/>
      <family val="2"/>
    </font>
    <font>
      <sz val="10"/>
      <name val="MS Sans Serif"/>
      <family val="2"/>
    </font>
    <font>
      <b/>
      <sz val="14"/>
      <name val="Arial"/>
      <family val="2"/>
    </font>
    <font>
      <b/>
      <sz val="16"/>
      <name val="Arial"/>
      <family val="2"/>
    </font>
    <font>
      <sz val="8"/>
      <color rgb="FF00B050"/>
      <name val="Arial"/>
      <family val="2"/>
    </font>
    <font>
      <sz val="10"/>
      <color rgb="FF7030A0"/>
      <name val="Arial"/>
      <family val="2"/>
    </font>
    <font>
      <sz val="10"/>
      <color rgb="FFFF0000"/>
      <name val="Arial"/>
      <family val="2"/>
    </font>
    <font>
      <b/>
      <sz val="16"/>
      <color rgb="FF7030A0"/>
      <name val="Arial"/>
      <family val="2"/>
    </font>
    <font>
      <b/>
      <sz val="8"/>
      <name val="Arial"/>
      <family val="2"/>
    </font>
    <font>
      <b/>
      <vertAlign val="superscript"/>
      <sz val="8"/>
      <name val="Arial"/>
      <family val="2"/>
    </font>
    <font>
      <sz val="8"/>
      <name val="Arial"/>
      <family val="2"/>
    </font>
    <font>
      <b/>
      <sz val="8"/>
      <color rgb="FFAB08BC"/>
      <name val="Arial"/>
      <family val="2"/>
    </font>
    <font>
      <vertAlign val="superscript"/>
      <sz val="8"/>
      <name val="Arial"/>
      <family val="2"/>
    </font>
    <font>
      <b/>
      <sz val="8"/>
      <color rgb="FF00B050"/>
      <name val="Arial"/>
      <family val="2"/>
    </font>
    <font>
      <sz val="8"/>
      <color rgb="FFFF0000"/>
      <name val="Arial"/>
      <family val="2"/>
    </font>
    <font>
      <b/>
      <sz val="8"/>
      <color rgb="FF333F48"/>
      <name val="PostGrotesk"/>
    </font>
    <font>
      <b/>
      <sz val="8"/>
      <color rgb="FFFF0000"/>
      <name val="Arial"/>
      <family val="2"/>
    </font>
    <font>
      <u/>
      <sz val="8"/>
      <color theme="10"/>
      <name val="Arial"/>
      <family val="2"/>
    </font>
    <font>
      <sz val="8"/>
      <color indexed="14"/>
      <name val="Arial"/>
      <family val="2"/>
    </font>
    <font>
      <sz val="8"/>
      <color rgb="FFFF00FF"/>
      <name val="Arial"/>
      <family val="2"/>
    </font>
    <font>
      <sz val="8"/>
      <color theme="1"/>
      <name val="Arial"/>
      <family val="2"/>
    </font>
    <font>
      <sz val="8"/>
      <color theme="3" tint="0.39997558519241921"/>
      <name val="Arial"/>
      <family val="2"/>
    </font>
    <font>
      <b/>
      <sz val="8"/>
      <color rgb="FFFF00FF"/>
      <name val="Arial"/>
      <family val="2"/>
    </font>
    <font>
      <sz val="8"/>
      <color rgb="FFAB08BC"/>
      <name val="Arial"/>
      <family val="2"/>
    </font>
    <font>
      <sz val="8"/>
      <color rgb="FF0A0A0A"/>
      <name val="Arial"/>
      <family val="2"/>
    </font>
    <font>
      <b/>
      <sz val="9"/>
      <color indexed="81"/>
      <name val="Tahoma"/>
      <family val="2"/>
    </font>
    <font>
      <sz val="9"/>
      <color indexed="81"/>
      <name val="Tahoma"/>
      <family val="2"/>
    </font>
    <font>
      <b/>
      <sz val="10"/>
      <name val="Arial"/>
      <family val="2"/>
    </font>
    <font>
      <sz val="9"/>
      <name val="Arial"/>
      <family val="2"/>
    </font>
    <font>
      <i/>
      <sz val="9"/>
      <name val="Arial"/>
      <family val="2"/>
    </font>
    <font>
      <b/>
      <sz val="9"/>
      <name val="Arial"/>
      <family val="2"/>
    </font>
    <font>
      <b/>
      <sz val="7"/>
      <name val="Arial"/>
      <family val="2"/>
    </font>
    <font>
      <b/>
      <vertAlign val="superscript"/>
      <sz val="7"/>
      <name val="Arial"/>
      <family val="2"/>
    </font>
    <font>
      <b/>
      <sz val="8"/>
      <color rgb="FF7030A0"/>
      <name val="Arial"/>
      <family val="2"/>
    </font>
    <font>
      <sz val="10"/>
      <color theme="6" tint="-0.499984740745262"/>
      <name val="Arial"/>
      <family val="2"/>
    </font>
    <font>
      <sz val="8"/>
      <color rgb="FF7030A0"/>
      <name val="Arial"/>
      <family val="2"/>
    </font>
    <font>
      <b/>
      <sz val="8"/>
      <color indexed="14"/>
      <name val="Arial"/>
      <family val="2"/>
    </font>
  </fonts>
  <fills count="13">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6"/>
        <bgColor indexed="64"/>
      </patternFill>
    </fill>
    <fill>
      <patternFill patternType="solid">
        <fgColor theme="6" tint="0.59999389629810485"/>
        <bgColor indexed="64"/>
      </patternFill>
    </fill>
    <fill>
      <patternFill patternType="solid">
        <fgColor theme="0"/>
        <bgColor indexed="64"/>
      </patternFill>
    </fill>
    <fill>
      <patternFill patternType="solid">
        <fgColor theme="6" tint="0.79998168889431442"/>
        <bgColor indexed="64"/>
      </patternFill>
    </fill>
    <fill>
      <patternFill patternType="solid">
        <fgColor theme="2" tint="-9.9948118533890809E-2"/>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theme="6" tint="0.39997558519241921"/>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medium">
        <color indexed="64"/>
      </left>
      <right style="medium">
        <color indexed="64"/>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diagonal/>
    </border>
    <border>
      <left style="thin">
        <color indexed="64"/>
      </left>
      <right/>
      <top/>
      <bottom/>
      <diagonal/>
    </border>
    <border>
      <left style="medium">
        <color indexed="64"/>
      </left>
      <right style="medium">
        <color indexed="64"/>
      </right>
      <top/>
      <bottom style="medium">
        <color indexed="64"/>
      </bottom>
      <diagonal/>
    </border>
    <border>
      <left style="medium">
        <color rgb="FFFF0000"/>
      </left>
      <right style="medium">
        <color rgb="FFFF0000"/>
      </right>
      <top style="medium">
        <color rgb="FFFF0000"/>
      </top>
      <bottom style="medium">
        <color rgb="FFFF0000"/>
      </bottom>
      <diagonal/>
    </border>
    <border>
      <left style="thin">
        <color indexed="64"/>
      </left>
      <right/>
      <top style="thin">
        <color indexed="64"/>
      </top>
      <bottom/>
      <diagonal/>
    </border>
    <border>
      <left/>
      <right/>
      <top style="thin">
        <color indexed="64"/>
      </top>
      <bottom style="thin">
        <color indexed="64"/>
      </bottom>
      <diagonal/>
    </border>
    <border>
      <left style="medium">
        <color rgb="FFFF0000"/>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style="medium">
        <color rgb="FFFF0000"/>
      </right>
      <top/>
      <bottom style="medium">
        <color rgb="FFFF0000"/>
      </bottom>
      <diagonal/>
    </border>
    <border>
      <left style="medium">
        <color rgb="FFFF0000"/>
      </left>
      <right style="thin">
        <color rgb="FFFF0000"/>
      </right>
      <top/>
      <bottom/>
      <diagonal/>
    </border>
    <border>
      <left style="thin">
        <color rgb="FFFF0000"/>
      </left>
      <right style="medium">
        <color rgb="FFFF0000"/>
      </right>
      <top/>
      <bottom style="thin">
        <color rgb="FFFF0000"/>
      </bottom>
      <diagonal/>
    </border>
    <border>
      <left style="medium">
        <color rgb="FFFF0000"/>
      </left>
      <right style="medium">
        <color rgb="FFFF0000"/>
      </right>
      <top style="medium">
        <color rgb="FFFF0000"/>
      </top>
      <bottom style="thin">
        <color indexed="64"/>
      </bottom>
      <diagonal/>
    </border>
    <border>
      <left style="medium">
        <color rgb="FFFF0000"/>
      </left>
      <right style="medium">
        <color rgb="FFFF0000"/>
      </right>
      <top style="thin">
        <color indexed="64"/>
      </top>
      <bottom style="thin">
        <color indexed="64"/>
      </bottom>
      <diagonal/>
    </border>
    <border>
      <left style="medium">
        <color rgb="FFFF0000"/>
      </left>
      <right style="medium">
        <color rgb="FFFF0000"/>
      </right>
      <top style="thin">
        <color indexed="64"/>
      </top>
      <bottom style="medium">
        <color rgb="FFFF0000"/>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applyNumberForma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5" fillId="0" borderId="0"/>
  </cellStyleXfs>
  <cellXfs count="299">
    <xf numFmtId="0" fontId="0" fillId="0" borderId="0" xfId="0"/>
    <xf numFmtId="0" fontId="3" fillId="0" borderId="0" xfId="3"/>
    <xf numFmtId="43" fontId="0" fillId="0" borderId="0" xfId="4" applyFont="1"/>
    <xf numFmtId="43" fontId="4" fillId="0" borderId="0" xfId="4" applyFont="1"/>
    <xf numFmtId="9" fontId="4" fillId="0" borderId="0" xfId="5" applyFont="1"/>
    <xf numFmtId="9" fontId="0" fillId="0" borderId="0" xfId="5" applyFont="1"/>
    <xf numFmtId="3" fontId="7" fillId="0" borderId="0" xfId="6" applyNumberFormat="1" applyFont="1" applyAlignment="1">
      <alignment horizontal="left"/>
    </xf>
    <xf numFmtId="43" fontId="0" fillId="0" borderId="0" xfId="0" applyNumberFormat="1"/>
    <xf numFmtId="0" fontId="0" fillId="0" borderId="0" xfId="0" applyAlignment="1">
      <alignment horizontal="left" vertical="center"/>
    </xf>
    <xf numFmtId="0" fontId="8" fillId="0" borderId="0" xfId="6" applyFont="1" applyAlignment="1">
      <alignment horizontal="left" vertical="center"/>
    </xf>
    <xf numFmtId="0" fontId="9" fillId="0" borderId="0" xfId="0" applyFont="1" applyAlignment="1">
      <alignment horizontal="left" vertical="center"/>
    </xf>
    <xf numFmtId="0" fontId="0" fillId="0" borderId="0" xfId="0" applyAlignment="1">
      <alignment horizontal="right"/>
    </xf>
    <xf numFmtId="0" fontId="0" fillId="0" borderId="0" xfId="0" applyAlignment="1">
      <alignment wrapText="1"/>
    </xf>
    <xf numFmtId="0" fontId="0" fillId="0" borderId="0" xfId="0" applyAlignment="1">
      <alignment horizontal="left" vertical="center" wrapText="1"/>
    </xf>
    <xf numFmtId="0" fontId="10" fillId="0" borderId="0" xfId="0" applyFont="1" applyAlignment="1">
      <alignment horizontal="left" vertical="center"/>
    </xf>
    <xf numFmtId="9" fontId="0" fillId="0" borderId="0" xfId="0" applyNumberFormat="1"/>
    <xf numFmtId="9" fontId="0" fillId="0" borderId="0" xfId="5" applyFont="1" applyAlignment="1">
      <alignment horizontal="left" vertical="center"/>
    </xf>
    <xf numFmtId="9" fontId="0" fillId="0" borderId="0" xfId="5" applyFont="1" applyAlignment="1"/>
    <xf numFmtId="0" fontId="11" fillId="2" borderId="1" xfId="6" applyFont="1" applyFill="1" applyBorder="1" applyAlignment="1">
      <alignment horizontal="center" vertical="center" wrapText="1"/>
    </xf>
    <xf numFmtId="0" fontId="12" fillId="0" borderId="1" xfId="6" applyFont="1" applyBorder="1" applyAlignment="1">
      <alignment horizontal="center" vertical="center" wrapText="1"/>
    </xf>
    <xf numFmtId="0" fontId="14" fillId="0" borderId="0" xfId="6" applyFont="1"/>
    <xf numFmtId="0" fontId="12" fillId="2" borderId="6" xfId="6" quotePrefix="1" applyFont="1" applyFill="1" applyBorder="1" applyAlignment="1">
      <alignment horizontal="left"/>
    </xf>
    <xf numFmtId="3" fontId="12" fillId="5" borderId="6" xfId="4" applyNumberFormat="1" applyFont="1" applyFill="1" applyBorder="1"/>
    <xf numFmtId="3" fontId="12" fillId="5" borderId="0" xfId="6" applyNumberFormat="1" applyFont="1" applyFill="1"/>
    <xf numFmtId="3" fontId="12" fillId="5" borderId="2" xfId="6" applyNumberFormat="1" applyFont="1" applyFill="1" applyBorder="1"/>
    <xf numFmtId="0" fontId="14" fillId="3" borderId="1" xfId="6" applyFont="1" applyFill="1" applyBorder="1" applyAlignment="1">
      <alignment horizontal="center" wrapText="1"/>
    </xf>
    <xf numFmtId="0" fontId="14" fillId="3" borderId="1" xfId="0" applyFont="1" applyFill="1" applyBorder="1" applyAlignment="1">
      <alignment wrapText="1"/>
    </xf>
    <xf numFmtId="0" fontId="12" fillId="4" borderId="1" xfId="6" applyFont="1" applyFill="1" applyBorder="1" applyAlignment="1">
      <alignment horizontal="center" wrapText="1"/>
    </xf>
    <xf numFmtId="10" fontId="12" fillId="4" borderId="1" xfId="6" applyNumberFormat="1" applyFont="1" applyFill="1" applyBorder="1" applyAlignment="1">
      <alignment horizontal="center" wrapText="1"/>
    </xf>
    <xf numFmtId="0" fontId="12" fillId="2" borderId="1" xfId="6" quotePrefix="1" applyFont="1" applyFill="1" applyBorder="1" applyAlignment="1">
      <alignment horizontal="left"/>
    </xf>
    <xf numFmtId="9" fontId="12" fillId="0" borderId="1" xfId="6" quotePrefix="1" applyNumberFormat="1" applyFont="1" applyBorder="1" applyAlignment="1">
      <alignment horizontal="left"/>
    </xf>
    <xf numFmtId="3" fontId="12" fillId="5" borderId="1" xfId="6" applyNumberFormat="1" applyFont="1" applyFill="1" applyBorder="1"/>
    <xf numFmtId="3" fontId="12" fillId="5" borderId="1" xfId="4" applyNumberFormat="1" applyFont="1" applyFill="1" applyBorder="1"/>
    <xf numFmtId="3" fontId="14" fillId="3" borderId="1" xfId="6" applyNumberFormat="1" applyFont="1" applyFill="1" applyBorder="1" applyAlignment="1">
      <alignment horizontal="center"/>
    </xf>
    <xf numFmtId="1" fontId="14" fillId="3" borderId="1" xfId="0" applyNumberFormat="1" applyFont="1" applyFill="1" applyBorder="1"/>
    <xf numFmtId="0" fontId="14" fillId="0" borderId="1" xfId="6" applyFont="1" applyBorder="1"/>
    <xf numFmtId="0" fontId="14" fillId="3" borderId="1" xfId="0" applyFont="1" applyFill="1" applyBorder="1"/>
    <xf numFmtId="9" fontId="14" fillId="3" borderId="1" xfId="6" applyNumberFormat="1" applyFont="1" applyFill="1" applyBorder="1"/>
    <xf numFmtId="1" fontId="14" fillId="3" borderId="1" xfId="6" applyNumberFormat="1" applyFont="1" applyFill="1" applyBorder="1"/>
    <xf numFmtId="43" fontId="14" fillId="4" borderId="1" xfId="4" applyFont="1" applyFill="1" applyBorder="1" applyAlignment="1">
      <alignment horizontal="left"/>
    </xf>
    <xf numFmtId="9" fontId="14" fillId="3" borderId="1" xfId="5" applyFont="1" applyFill="1" applyBorder="1"/>
    <xf numFmtId="0" fontId="12" fillId="2" borderId="8" xfId="6" quotePrefix="1" applyFont="1" applyFill="1" applyBorder="1" applyAlignment="1">
      <alignment horizontal="left"/>
    </xf>
    <xf numFmtId="43" fontId="14" fillId="4" borderId="1" xfId="4" applyFont="1" applyFill="1" applyBorder="1"/>
    <xf numFmtId="0" fontId="12" fillId="0" borderId="1" xfId="6" applyFont="1" applyBorder="1"/>
    <xf numFmtId="43" fontId="12" fillId="5" borderId="1" xfId="4" applyFont="1" applyFill="1" applyBorder="1"/>
    <xf numFmtId="0" fontId="14" fillId="5" borderId="1" xfId="6" applyFont="1" applyFill="1" applyBorder="1"/>
    <xf numFmtId="43" fontId="12" fillId="5" borderId="2" xfId="4" applyFont="1" applyFill="1" applyBorder="1"/>
    <xf numFmtId="0" fontId="12" fillId="0" borderId="1" xfId="6" quotePrefix="1" applyFont="1" applyBorder="1" applyAlignment="1">
      <alignment horizontal="left"/>
    </xf>
    <xf numFmtId="43" fontId="14" fillId="5" borderId="1" xfId="6" applyNumberFormat="1" applyFont="1" applyFill="1" applyBorder="1"/>
    <xf numFmtId="43" fontId="12" fillId="0" borderId="1" xfId="4" applyFont="1" applyBorder="1"/>
    <xf numFmtId="0" fontId="14" fillId="0" borderId="2" xfId="6" applyFont="1" applyBorder="1"/>
    <xf numFmtId="3" fontId="17" fillId="0" borderId="0" xfId="6" applyNumberFormat="1" applyFont="1" applyAlignment="1">
      <alignment horizontal="left"/>
    </xf>
    <xf numFmtId="9" fontId="14" fillId="0" borderId="0" xfId="6" applyNumberFormat="1" applyFont="1"/>
    <xf numFmtId="9" fontId="12" fillId="0" borderId="0" xfId="6" applyNumberFormat="1" applyFont="1" applyAlignment="1">
      <alignment horizontal="left"/>
    </xf>
    <xf numFmtId="0" fontId="18" fillId="0" borderId="0" xfId="6" applyFont="1"/>
    <xf numFmtId="0" fontId="12" fillId="0" borderId="0" xfId="6" applyFont="1"/>
    <xf numFmtId="3" fontId="14" fillId="5" borderId="1" xfId="6" applyNumberFormat="1" applyFont="1" applyFill="1" applyBorder="1" applyAlignment="1">
      <alignment horizontal="right"/>
    </xf>
    <xf numFmtId="0" fontId="14" fillId="0" borderId="9" xfId="6" applyFont="1" applyBorder="1"/>
    <xf numFmtId="0" fontId="12" fillId="0" borderId="9" xfId="6" applyFont="1" applyBorder="1"/>
    <xf numFmtId="0" fontId="14" fillId="3" borderId="0" xfId="6" applyFont="1" applyFill="1"/>
    <xf numFmtId="0" fontId="3" fillId="3" borderId="0" xfId="3" applyFill="1"/>
    <xf numFmtId="3" fontId="19" fillId="5" borderId="1" xfId="0" applyNumberFormat="1" applyFont="1" applyFill="1" applyBorder="1"/>
    <xf numFmtId="10" fontId="20" fillId="0" borderId="0" xfId="6" applyNumberFormat="1" applyFont="1" applyAlignment="1">
      <alignment horizontal="left"/>
    </xf>
    <xf numFmtId="0" fontId="14" fillId="0" borderId="10" xfId="6" applyFont="1" applyBorder="1"/>
    <xf numFmtId="0" fontId="12" fillId="0" borderId="2" xfId="6" applyFont="1" applyBorder="1"/>
    <xf numFmtId="3" fontId="12" fillId="0" borderId="7" xfId="6" applyNumberFormat="1" applyFont="1" applyBorder="1" applyAlignment="1">
      <alignment horizontal="right"/>
    </xf>
    <xf numFmtId="0" fontId="14" fillId="2" borderId="1" xfId="6" applyFont="1" applyFill="1" applyBorder="1"/>
    <xf numFmtId="2" fontId="14" fillId="2" borderId="1" xfId="6" applyNumberFormat="1" applyFont="1" applyFill="1" applyBorder="1" applyAlignment="1">
      <alignment horizontal="left"/>
    </xf>
    <xf numFmtId="0" fontId="21" fillId="2" borderId="1" xfId="3" applyFont="1" applyFill="1" applyBorder="1"/>
    <xf numFmtId="3" fontId="14" fillId="0" borderId="0" xfId="6" applyNumberFormat="1" applyFont="1"/>
    <xf numFmtId="0" fontId="14" fillId="0" borderId="11" xfId="6" applyFont="1" applyBorder="1"/>
    <xf numFmtId="1" fontId="14" fillId="0" borderId="0" xfId="6" applyNumberFormat="1" applyFont="1"/>
    <xf numFmtId="10" fontId="14" fillId="0" borderId="0" xfId="6" applyNumberFormat="1" applyFont="1" applyAlignment="1">
      <alignment horizontal="left"/>
    </xf>
    <xf numFmtId="0" fontId="8" fillId="0" borderId="2" xfId="6" applyFont="1" applyBorder="1"/>
    <xf numFmtId="3" fontId="14" fillId="0" borderId="7" xfId="6" applyNumberFormat="1" applyFont="1" applyBorder="1" applyAlignment="1">
      <alignment horizontal="right"/>
    </xf>
    <xf numFmtId="0" fontId="8" fillId="0" borderId="0" xfId="6" applyFont="1"/>
    <xf numFmtId="0" fontId="14" fillId="2" borderId="1" xfId="6" applyFont="1" applyFill="1" applyBorder="1" applyAlignment="1">
      <alignment horizontal="left"/>
    </xf>
    <xf numFmtId="0" fontId="14" fillId="0" borderId="4" xfId="6" applyFont="1" applyBorder="1"/>
    <xf numFmtId="0" fontId="12" fillId="0" borderId="4" xfId="6" applyFont="1" applyBorder="1"/>
    <xf numFmtId="165" fontId="12" fillId="0" borderId="4" xfId="6" applyNumberFormat="1" applyFont="1" applyBorder="1"/>
    <xf numFmtId="3" fontId="17" fillId="6" borderId="7" xfId="6" applyNumberFormat="1" applyFont="1" applyFill="1" applyBorder="1" applyAlignment="1">
      <alignment horizontal="right"/>
    </xf>
    <xf numFmtId="3" fontId="8" fillId="0" borderId="0" xfId="6" applyNumberFormat="1" applyFont="1"/>
    <xf numFmtId="3" fontId="17" fillId="6" borderId="10" xfId="6" applyNumberFormat="1" applyFont="1" applyFill="1" applyBorder="1" applyAlignment="1">
      <alignment horizontal="right"/>
    </xf>
    <xf numFmtId="3" fontId="14" fillId="0" borderId="0" xfId="0" applyNumberFormat="1" applyFont="1"/>
    <xf numFmtId="10" fontId="12" fillId="3" borderId="0" xfId="6" applyNumberFormat="1" applyFont="1" applyFill="1"/>
    <xf numFmtId="165" fontId="12" fillId="0" borderId="4" xfId="0" applyNumberFormat="1" applyFont="1" applyBorder="1"/>
    <xf numFmtId="0" fontId="14" fillId="0" borderId="5" xfId="6" applyFont="1" applyBorder="1"/>
    <xf numFmtId="0" fontId="14" fillId="0" borderId="0" xfId="6" applyFont="1" applyAlignment="1">
      <alignment horizontal="center" vertical="center"/>
    </xf>
    <xf numFmtId="0" fontId="12" fillId="0" borderId="3" xfId="6" applyFont="1" applyBorder="1"/>
    <xf numFmtId="9" fontId="14" fillId="0" borderId="4" xfId="6" applyNumberFormat="1" applyFont="1" applyBorder="1"/>
    <xf numFmtId="10" fontId="14" fillId="0" borderId="4" xfId="6" applyNumberFormat="1" applyFont="1" applyBorder="1"/>
    <xf numFmtId="0" fontId="23" fillId="0" borderId="12" xfId="6" applyFont="1" applyBorder="1"/>
    <xf numFmtId="0" fontId="14" fillId="0" borderId="12" xfId="6" applyFont="1" applyBorder="1"/>
    <xf numFmtId="0" fontId="14" fillId="0" borderId="13" xfId="6" applyFont="1" applyBorder="1"/>
    <xf numFmtId="0" fontId="14" fillId="7" borderId="14" xfId="6" applyFont="1" applyFill="1" applyBorder="1" applyAlignment="1">
      <alignment horizontal="center" vertical="center" wrapText="1"/>
    </xf>
    <xf numFmtId="0" fontId="12" fillId="0" borderId="15" xfId="6" applyFont="1" applyBorder="1" applyAlignment="1">
      <alignment vertical="top"/>
    </xf>
    <xf numFmtId="9" fontId="12" fillId="0" borderId="15" xfId="6" applyNumberFormat="1" applyFont="1" applyBorder="1" applyAlignment="1">
      <alignment vertical="top"/>
    </xf>
    <xf numFmtId="0" fontId="12" fillId="0" borderId="16" xfId="6" applyFont="1" applyBorder="1" applyAlignment="1">
      <alignment vertical="top"/>
    </xf>
    <xf numFmtId="0" fontId="12" fillId="7" borderId="17" xfId="6" applyFont="1" applyFill="1" applyBorder="1" applyAlignment="1">
      <alignment vertical="top"/>
    </xf>
    <xf numFmtId="3" fontId="14" fillId="0" borderId="12" xfId="6" applyNumberFormat="1" applyFont="1" applyBorder="1"/>
    <xf numFmtId="9" fontId="14" fillId="0" borderId="12" xfId="6" applyNumberFormat="1" applyFont="1" applyBorder="1"/>
    <xf numFmtId="167" fontId="14" fillId="8" borderId="12" xfId="4" applyNumberFormat="1" applyFont="1" applyFill="1" applyBorder="1"/>
    <xf numFmtId="3" fontId="14" fillId="0" borderId="13" xfId="6" applyNumberFormat="1" applyFont="1" applyBorder="1"/>
    <xf numFmtId="0" fontId="14" fillId="7" borderId="17" xfId="6" applyFont="1" applyFill="1" applyBorder="1"/>
    <xf numFmtId="0" fontId="12" fillId="0" borderId="0" xfId="6" applyFont="1" applyAlignment="1">
      <alignment vertical="top"/>
    </xf>
    <xf numFmtId="3" fontId="24" fillId="0" borderId="12" xfId="6" applyNumberFormat="1" applyFont="1" applyBorder="1"/>
    <xf numFmtId="9" fontId="24" fillId="0" borderId="12" xfId="6" applyNumberFormat="1" applyFont="1" applyBorder="1"/>
    <xf numFmtId="43" fontId="14" fillId="8" borderId="12" xfId="4" applyFont="1" applyFill="1" applyBorder="1"/>
    <xf numFmtId="3" fontId="25" fillId="0" borderId="12" xfId="6" applyNumberFormat="1" applyFont="1" applyBorder="1"/>
    <xf numFmtId="166" fontId="22" fillId="2" borderId="12" xfId="6" applyNumberFormat="1" applyFont="1" applyFill="1" applyBorder="1"/>
    <xf numFmtId="166" fontId="24" fillId="0" borderId="12" xfId="6" applyNumberFormat="1" applyFont="1" applyBorder="1"/>
    <xf numFmtId="166" fontId="24" fillId="0" borderId="13" xfId="6" applyNumberFormat="1" applyFont="1" applyBorder="1"/>
    <xf numFmtId="0" fontId="25" fillId="7" borderId="17" xfId="6" applyFont="1" applyFill="1" applyBorder="1"/>
    <xf numFmtId="165" fontId="23" fillId="0" borderId="12" xfId="6" applyNumberFormat="1" applyFont="1" applyBorder="1"/>
    <xf numFmtId="9" fontId="25" fillId="8" borderId="12" xfId="6" applyNumberFormat="1" applyFont="1" applyFill="1" applyBorder="1"/>
    <xf numFmtId="166" fontId="22" fillId="0" borderId="12" xfId="6" applyNumberFormat="1" applyFont="1" applyBorder="1"/>
    <xf numFmtId="0" fontId="25" fillId="0" borderId="0" xfId="6" applyFont="1"/>
    <xf numFmtId="4" fontId="23" fillId="0" borderId="12" xfId="6" applyNumberFormat="1" applyFont="1" applyBorder="1"/>
    <xf numFmtId="4" fontId="14" fillId="0" borderId="12" xfId="6" applyNumberFormat="1" applyFont="1" applyBorder="1"/>
    <xf numFmtId="4" fontId="14" fillId="0" borderId="13" xfId="6" applyNumberFormat="1" applyFont="1" applyBorder="1"/>
    <xf numFmtId="166" fontId="14" fillId="0" borderId="12" xfId="6" applyNumberFormat="1" applyFont="1" applyBorder="1"/>
    <xf numFmtId="4" fontId="22" fillId="2" borderId="12" xfId="6" applyNumberFormat="1" applyFont="1" applyFill="1" applyBorder="1"/>
    <xf numFmtId="10" fontId="14" fillId="8" borderId="18" xfId="0" applyNumberFormat="1" applyFont="1" applyFill="1" applyBorder="1"/>
    <xf numFmtId="10" fontId="14" fillId="0" borderId="12" xfId="5" applyNumberFormat="1" applyFont="1" applyBorder="1"/>
    <xf numFmtId="10" fontId="23" fillId="2" borderId="12" xfId="5" applyNumberFormat="1" applyFont="1" applyFill="1" applyBorder="1"/>
    <xf numFmtId="3" fontId="14" fillId="8" borderId="12" xfId="6" applyNumberFormat="1" applyFont="1" applyFill="1" applyBorder="1"/>
    <xf numFmtId="3" fontId="22" fillId="2" borderId="12" xfId="6" applyNumberFormat="1" applyFont="1" applyFill="1" applyBorder="1"/>
    <xf numFmtId="0" fontId="14" fillId="0" borderId="19" xfId="6" applyFont="1" applyBorder="1"/>
    <xf numFmtId="9" fontId="14" fillId="0" borderId="19" xfId="6" applyNumberFormat="1" applyFont="1" applyBorder="1"/>
    <xf numFmtId="167" fontId="14" fillId="0" borderId="19" xfId="4" applyNumberFormat="1" applyFont="1" applyBorder="1"/>
    <xf numFmtId="0" fontId="14" fillId="0" borderId="12" xfId="6" quotePrefix="1" applyFont="1" applyBorder="1" applyAlignment="1">
      <alignment horizontal="left"/>
    </xf>
    <xf numFmtId="3" fontId="14" fillId="9" borderId="19" xfId="6" applyNumberFormat="1" applyFont="1" applyFill="1" applyBorder="1"/>
    <xf numFmtId="3" fontId="14" fillId="9" borderId="20" xfId="6" applyNumberFormat="1" applyFont="1" applyFill="1" applyBorder="1"/>
    <xf numFmtId="3" fontId="14" fillId="7" borderId="17" xfId="6" applyNumberFormat="1" applyFont="1" applyFill="1" applyBorder="1"/>
    <xf numFmtId="165" fontId="14" fillId="0" borderId="12" xfId="6" applyNumberFormat="1" applyFont="1" applyBorder="1"/>
    <xf numFmtId="0" fontId="12" fillId="0" borderId="19" xfId="6" applyFont="1" applyBorder="1"/>
    <xf numFmtId="3" fontId="12" fillId="0" borderId="19" xfId="6" applyNumberFormat="1" applyFont="1" applyBorder="1"/>
    <xf numFmtId="3" fontId="12" fillId="9" borderId="19" xfId="6" applyNumberFormat="1" applyFont="1" applyFill="1" applyBorder="1"/>
    <xf numFmtId="3" fontId="12" fillId="9" borderId="20" xfId="6" applyNumberFormat="1" applyFont="1" applyFill="1" applyBorder="1"/>
    <xf numFmtId="0" fontId="12" fillId="7" borderId="17" xfId="6" applyFont="1" applyFill="1" applyBorder="1"/>
    <xf numFmtId="165" fontId="14" fillId="0" borderId="19" xfId="6" applyNumberFormat="1" applyFont="1" applyBorder="1"/>
    <xf numFmtId="9" fontId="14" fillId="8" borderId="19" xfId="6" applyNumberFormat="1" applyFont="1" applyFill="1" applyBorder="1"/>
    <xf numFmtId="3" fontId="14" fillId="0" borderId="19" xfId="6" applyNumberFormat="1" applyFont="1" applyBorder="1"/>
    <xf numFmtId="3" fontId="22" fillId="0" borderId="19" xfId="6" applyNumberFormat="1" applyFont="1" applyBorder="1"/>
    <xf numFmtId="3" fontId="14" fillId="0" borderId="20" xfId="6" applyNumberFormat="1" applyFont="1" applyBorder="1"/>
    <xf numFmtId="165" fontId="24" fillId="0" borderId="19" xfId="6" applyNumberFormat="1" applyFont="1" applyBorder="1"/>
    <xf numFmtId="3" fontId="14" fillId="8" borderId="19" xfId="6" applyNumberFormat="1" applyFont="1" applyFill="1" applyBorder="1"/>
    <xf numFmtId="3" fontId="12" fillId="0" borderId="6" xfId="6" applyNumberFormat="1" applyFont="1" applyBorder="1"/>
    <xf numFmtId="9" fontId="12" fillId="0" borderId="6" xfId="6" applyNumberFormat="1" applyFont="1" applyBorder="1"/>
    <xf numFmtId="3" fontId="12" fillId="8" borderId="6" xfId="6" applyNumberFormat="1" applyFont="1" applyFill="1" applyBorder="1"/>
    <xf numFmtId="3" fontId="12" fillId="6" borderId="6" xfId="6" applyNumberFormat="1" applyFont="1" applyFill="1" applyBorder="1"/>
    <xf numFmtId="3" fontId="22" fillId="0" borderId="12" xfId="6" applyNumberFormat="1" applyFont="1" applyBorder="1"/>
    <xf numFmtId="3" fontId="12" fillId="0" borderId="3" xfId="6" applyNumberFormat="1" applyFont="1" applyBorder="1"/>
    <xf numFmtId="9" fontId="12" fillId="0" borderId="19" xfId="6" applyNumberFormat="1" applyFont="1" applyBorder="1"/>
    <xf numFmtId="3" fontId="12" fillId="0" borderId="20" xfId="6" applyNumberFormat="1" applyFont="1" applyBorder="1"/>
    <xf numFmtId="168" fontId="12" fillId="0" borderId="6" xfId="5" applyNumberFormat="1" applyFont="1" applyBorder="1"/>
    <xf numFmtId="3" fontId="24" fillId="0" borderId="13" xfId="6" applyNumberFormat="1" applyFont="1" applyBorder="1"/>
    <xf numFmtId="3" fontId="12" fillId="8" borderId="19" xfId="6" applyNumberFormat="1" applyFont="1" applyFill="1" applyBorder="1"/>
    <xf numFmtId="3" fontId="12" fillId="0" borderId="0" xfId="6" applyNumberFormat="1" applyFont="1"/>
    <xf numFmtId="9" fontId="12" fillId="0" borderId="0" xfId="6" applyNumberFormat="1" applyFont="1"/>
    <xf numFmtId="3" fontId="12" fillId="0" borderId="0" xfId="6" applyNumberFormat="1" applyFont="1" applyAlignment="1">
      <alignment horizontal="right"/>
    </xf>
    <xf numFmtId="3" fontId="12" fillId="0" borderId="9" xfId="6" applyNumberFormat="1" applyFont="1" applyBorder="1" applyAlignment="1">
      <alignment wrapText="1"/>
    </xf>
    <xf numFmtId="165" fontId="12" fillId="0" borderId="9" xfId="5" applyNumberFormat="1" applyFont="1" applyBorder="1"/>
    <xf numFmtId="3" fontId="12" fillId="0" borderId="9" xfId="6" applyNumberFormat="1" applyFont="1" applyBorder="1"/>
    <xf numFmtId="0" fontId="12" fillId="0" borderId="0" xfId="6" applyFont="1" applyAlignment="1">
      <alignment horizontal="right"/>
    </xf>
    <xf numFmtId="167" fontId="12" fillId="7" borderId="21" xfId="4" applyNumberFormat="1" applyFont="1" applyFill="1" applyBorder="1"/>
    <xf numFmtId="165" fontId="14" fillId="0" borderId="0" xfId="6" applyNumberFormat="1" applyFont="1"/>
    <xf numFmtId="165" fontId="14" fillId="0" borderId="0" xfId="6" applyNumberFormat="1" applyFont="1" applyAlignment="1">
      <alignment horizontal="right"/>
    </xf>
    <xf numFmtId="9" fontId="12" fillId="0" borderId="4" xfId="6" applyNumberFormat="1" applyFont="1" applyBorder="1"/>
    <xf numFmtId="3" fontId="14" fillId="0" borderId="4" xfId="6" applyNumberFormat="1" applyFont="1" applyBorder="1"/>
    <xf numFmtId="165" fontId="14" fillId="0" borderId="4" xfId="6" applyNumberFormat="1" applyFont="1" applyBorder="1"/>
    <xf numFmtId="165" fontId="14" fillId="0" borderId="4" xfId="6" applyNumberFormat="1" applyFont="1" applyBorder="1" applyAlignment="1">
      <alignment horizontal="right"/>
    </xf>
    <xf numFmtId="0" fontId="12" fillId="0" borderId="12" xfId="6" applyFont="1" applyBorder="1"/>
    <xf numFmtId="9" fontId="12" fillId="0" borderId="12" xfId="6" applyNumberFormat="1" applyFont="1" applyBorder="1"/>
    <xf numFmtId="165" fontId="14" fillId="0" borderId="15" xfId="6" applyNumberFormat="1" applyFont="1" applyBorder="1"/>
    <xf numFmtId="9" fontId="14" fillId="0" borderId="12" xfId="6" quotePrefix="1" applyNumberFormat="1" applyFont="1" applyBorder="1" applyAlignment="1">
      <alignment horizontal="left"/>
    </xf>
    <xf numFmtId="0" fontId="12" fillId="0" borderId="6" xfId="6" applyFont="1" applyBorder="1"/>
    <xf numFmtId="0" fontId="12" fillId="0" borderId="0" xfId="6" applyFont="1" applyAlignment="1">
      <alignment horizontal="center" vertical="center"/>
    </xf>
    <xf numFmtId="0" fontId="14" fillId="0" borderId="0" xfId="6" applyFont="1" applyAlignment="1">
      <alignment horizontal="right"/>
    </xf>
    <xf numFmtId="9" fontId="14" fillId="0" borderId="0" xfId="6" applyNumberFormat="1" applyFont="1" applyAlignment="1">
      <alignment horizontal="center" vertical="center"/>
    </xf>
    <xf numFmtId="165" fontId="12" fillId="0" borderId="0" xfId="6" applyNumberFormat="1" applyFont="1"/>
    <xf numFmtId="1" fontId="12" fillId="0" borderId="0" xfId="6" applyNumberFormat="1" applyFont="1"/>
    <xf numFmtId="9" fontId="14" fillId="0" borderId="0" xfId="5" applyFont="1"/>
    <xf numFmtId="0" fontId="12" fillId="0" borderId="0" xfId="6" quotePrefix="1" applyFont="1" applyAlignment="1">
      <alignment horizontal="left"/>
    </xf>
    <xf numFmtId="9" fontId="12" fillId="0" borderId="0" xfId="6" quotePrefix="1" applyNumberFormat="1" applyFont="1" applyAlignment="1">
      <alignment horizontal="left"/>
    </xf>
    <xf numFmtId="43" fontId="14" fillId="0" borderId="0" xfId="4" applyFont="1"/>
    <xf numFmtId="167" fontId="14" fillId="0" borderId="0" xfId="4" applyNumberFormat="1" applyFont="1"/>
    <xf numFmtId="167" fontId="14" fillId="0" borderId="0" xfId="6" applyNumberFormat="1" applyFont="1"/>
    <xf numFmtId="10" fontId="14" fillId="0" borderId="0" xfId="6" applyNumberFormat="1" applyFont="1"/>
    <xf numFmtId="3" fontId="14" fillId="0" borderId="0" xfId="6" applyNumberFormat="1" applyFont="1" applyAlignment="1">
      <alignment horizontal="right"/>
    </xf>
    <xf numFmtId="4" fontId="14" fillId="0" borderId="0" xfId="6" applyNumberFormat="1" applyFont="1"/>
    <xf numFmtId="165" fontId="14" fillId="0" borderId="0" xfId="5" applyNumberFormat="1" applyFont="1"/>
    <xf numFmtId="0" fontId="28" fillId="0" borderId="0" xfId="0" applyFont="1"/>
    <xf numFmtId="0" fontId="31" fillId="0" borderId="0" xfId="0" applyFont="1" applyAlignment="1">
      <alignment horizontal="left" vertical="center"/>
    </xf>
    <xf numFmtId="0" fontId="31" fillId="0" borderId="0" xfId="0" applyFont="1"/>
    <xf numFmtId="0" fontId="31" fillId="0" borderId="0" xfId="0" applyFont="1" applyAlignment="1">
      <alignment horizontal="right"/>
    </xf>
    <xf numFmtId="0" fontId="32" fillId="0" borderId="0" xfId="0" applyFont="1" applyAlignment="1">
      <alignment wrapText="1"/>
    </xf>
    <xf numFmtId="0" fontId="32" fillId="0" borderId="0" xfId="0" applyFont="1" applyAlignment="1">
      <alignment horizontal="left" vertical="center" wrapText="1"/>
    </xf>
    <xf numFmtId="3" fontId="35" fillId="2" borderId="1" xfId="6" applyNumberFormat="1" applyFont="1" applyFill="1" applyBorder="1" applyAlignment="1">
      <alignment horizontal="center" vertical="center" wrapText="1"/>
    </xf>
    <xf numFmtId="0" fontId="35" fillId="0" borderId="1" xfId="6" applyFont="1" applyBorder="1" applyAlignment="1">
      <alignment horizontal="center" vertical="center"/>
    </xf>
    <xf numFmtId="0" fontId="35" fillId="0" borderId="1" xfId="6" applyFont="1" applyBorder="1" applyAlignment="1">
      <alignment horizontal="center" vertical="center" wrapText="1"/>
    </xf>
    <xf numFmtId="3" fontId="35" fillId="0" borderId="1" xfId="6" applyNumberFormat="1" applyFont="1" applyBorder="1" applyAlignment="1">
      <alignment horizontal="center" vertical="center" wrapText="1"/>
    </xf>
    <xf numFmtId="3" fontId="35" fillId="0" borderId="2" xfId="6" applyNumberFormat="1" applyFont="1" applyBorder="1" applyAlignment="1">
      <alignment horizontal="center" vertical="center" wrapText="1"/>
    </xf>
    <xf numFmtId="0" fontId="38" fillId="0" borderId="0" xfId="0" applyFont="1" applyAlignment="1">
      <alignment horizontal="left" vertical="center"/>
    </xf>
    <xf numFmtId="0" fontId="14" fillId="0" borderId="0" xfId="6" applyFont="1" applyAlignment="1">
      <alignment wrapText="1"/>
    </xf>
    <xf numFmtId="0" fontId="21" fillId="2" borderId="1" xfId="3" applyFont="1" applyFill="1" applyBorder="1" applyAlignment="1">
      <alignment wrapText="1"/>
    </xf>
    <xf numFmtId="0" fontId="14" fillId="10" borderId="0" xfId="6" applyFont="1" applyFill="1"/>
    <xf numFmtId="0" fontId="14" fillId="10" borderId="0" xfId="6" applyFont="1" applyFill="1" applyAlignment="1">
      <alignment wrapText="1"/>
    </xf>
    <xf numFmtId="0" fontId="37" fillId="10" borderId="0" xfId="6" applyFont="1" applyFill="1"/>
    <xf numFmtId="9" fontId="12" fillId="0" borderId="3" xfId="6" quotePrefix="1" applyNumberFormat="1" applyFont="1" applyBorder="1" applyAlignment="1">
      <alignment horizontal="left"/>
    </xf>
    <xf numFmtId="3" fontId="35" fillId="2" borderId="8" xfId="6" applyNumberFormat="1" applyFont="1" applyFill="1" applyBorder="1" applyAlignment="1">
      <alignment horizontal="center" vertical="center" wrapText="1"/>
    </xf>
    <xf numFmtId="43" fontId="15" fillId="2" borderId="22" xfId="1" applyFont="1" applyFill="1" applyBorder="1"/>
    <xf numFmtId="3" fontId="12" fillId="5" borderId="5" xfId="6" applyNumberFormat="1" applyFont="1" applyFill="1" applyBorder="1"/>
    <xf numFmtId="3" fontId="12" fillId="5" borderId="7" xfId="6" applyNumberFormat="1" applyFont="1" applyFill="1" applyBorder="1"/>
    <xf numFmtId="9" fontId="12" fillId="0" borderId="2" xfId="6" quotePrefix="1" applyNumberFormat="1" applyFont="1" applyBorder="1" applyAlignment="1">
      <alignment horizontal="left"/>
    </xf>
    <xf numFmtId="43" fontId="12" fillId="5" borderId="6" xfId="4" applyFont="1" applyFill="1" applyBorder="1"/>
    <xf numFmtId="9" fontId="12" fillId="0" borderId="23" xfId="6" quotePrefix="1" applyNumberFormat="1" applyFont="1" applyBorder="1" applyAlignment="1">
      <alignment horizontal="left"/>
    </xf>
    <xf numFmtId="1" fontId="12" fillId="5" borderId="6" xfId="6" applyNumberFormat="1" applyFont="1" applyFill="1" applyBorder="1"/>
    <xf numFmtId="3" fontId="12" fillId="5" borderId="3" xfId="6" applyNumberFormat="1" applyFont="1" applyFill="1" applyBorder="1"/>
    <xf numFmtId="0" fontId="35" fillId="2" borderId="8" xfId="6" applyFont="1" applyFill="1" applyBorder="1" applyAlignment="1">
      <alignment horizontal="center" vertical="center" wrapText="1"/>
    </xf>
    <xf numFmtId="9" fontId="15" fillId="2" borderId="22" xfId="5" applyFont="1" applyFill="1" applyBorder="1"/>
    <xf numFmtId="2" fontId="15" fillId="2" borderId="3" xfId="6" applyNumberFormat="1" applyFont="1" applyFill="1" applyBorder="1"/>
    <xf numFmtId="3" fontId="15" fillId="2" borderId="22" xfId="6" applyNumberFormat="1" applyFont="1" applyFill="1" applyBorder="1"/>
    <xf numFmtId="0" fontId="15" fillId="2" borderId="2" xfId="6" applyFont="1" applyFill="1" applyBorder="1"/>
    <xf numFmtId="3" fontId="12" fillId="5" borderId="4" xfId="4" applyNumberFormat="1" applyFont="1" applyFill="1" applyBorder="1"/>
    <xf numFmtId="3" fontId="12" fillId="5" borderId="24" xfId="4" applyNumberFormat="1" applyFont="1" applyFill="1" applyBorder="1"/>
    <xf numFmtId="3" fontId="12" fillId="5" borderId="24" xfId="6" applyNumberFormat="1" applyFont="1" applyFill="1" applyBorder="1"/>
    <xf numFmtId="0" fontId="35" fillId="2" borderId="8" xfId="6" applyFont="1" applyFill="1" applyBorder="1" applyAlignment="1">
      <alignment horizontal="center" vertical="center"/>
    </xf>
    <xf numFmtId="0" fontId="14" fillId="5" borderId="6" xfId="6" applyFont="1" applyFill="1" applyBorder="1"/>
    <xf numFmtId="0" fontId="14" fillId="10" borderId="25" xfId="6" applyFont="1" applyFill="1" applyBorder="1"/>
    <xf numFmtId="0" fontId="14" fillId="10" borderId="27" xfId="6" applyFont="1" applyFill="1" applyBorder="1"/>
    <xf numFmtId="0" fontId="14" fillId="11" borderId="0" xfId="6" applyFont="1" applyFill="1" applyAlignment="1">
      <alignment wrapText="1"/>
    </xf>
    <xf numFmtId="0" fontId="14" fillId="11" borderId="0" xfId="6" applyFont="1" applyFill="1"/>
    <xf numFmtId="9" fontId="12" fillId="8" borderId="15" xfId="6" applyNumberFormat="1" applyFont="1" applyFill="1" applyBorder="1" applyAlignment="1">
      <alignment horizontal="center" vertical="center" wrapText="1"/>
    </xf>
    <xf numFmtId="0" fontId="21" fillId="11" borderId="8" xfId="3" applyFont="1" applyFill="1" applyBorder="1" applyAlignment="1">
      <alignment wrapText="1"/>
    </xf>
    <xf numFmtId="0" fontId="14" fillId="11" borderId="26" xfId="6" applyFont="1" applyFill="1" applyBorder="1"/>
    <xf numFmtId="0" fontId="14" fillId="11" borderId="32" xfId="6" applyFont="1" applyFill="1" applyBorder="1"/>
    <xf numFmtId="0" fontId="14" fillId="11" borderId="30" xfId="6" applyFont="1" applyFill="1" applyBorder="1"/>
    <xf numFmtId="43" fontId="37" fillId="10" borderId="26" xfId="1" applyFont="1" applyFill="1" applyBorder="1"/>
    <xf numFmtId="43" fontId="37" fillId="11" borderId="25" xfId="1" applyFont="1" applyFill="1" applyBorder="1"/>
    <xf numFmtId="43" fontId="37" fillId="11" borderId="31" xfId="1" applyFont="1" applyFill="1" applyBorder="1"/>
    <xf numFmtId="43" fontId="37" fillId="10" borderId="30" xfId="1" applyFont="1" applyFill="1" applyBorder="1"/>
    <xf numFmtId="43" fontId="37" fillId="11" borderId="29" xfId="1" applyFont="1" applyFill="1" applyBorder="1"/>
    <xf numFmtId="0" fontId="14" fillId="2" borderId="2" xfId="6" applyFont="1" applyFill="1" applyBorder="1" applyAlignment="1">
      <alignment horizontal="left"/>
    </xf>
    <xf numFmtId="3" fontId="14" fillId="2" borderId="7" xfId="6" applyNumberFormat="1" applyFont="1" applyFill="1" applyBorder="1" applyAlignment="1">
      <alignment horizontal="left"/>
    </xf>
    <xf numFmtId="0" fontId="14" fillId="2" borderId="7" xfId="6" applyFont="1" applyFill="1" applyBorder="1"/>
    <xf numFmtId="164" fontId="20" fillId="2" borderId="8" xfId="6" applyNumberFormat="1" applyFont="1" applyFill="1" applyBorder="1" applyAlignment="1">
      <alignment horizontal="right"/>
    </xf>
    <xf numFmtId="166" fontId="40" fillId="2" borderId="33" xfId="6" applyNumberFormat="1" applyFont="1" applyFill="1" applyBorder="1" applyAlignment="1">
      <alignment horizontal="right"/>
    </xf>
    <xf numFmtId="9" fontId="26" fillId="2" borderId="34" xfId="6" applyNumberFormat="1" applyFont="1" applyFill="1" applyBorder="1" applyAlignment="1">
      <alignment horizontal="right"/>
    </xf>
    <xf numFmtId="9" fontId="40" fillId="2" borderId="34" xfId="5" applyFont="1" applyFill="1" applyBorder="1" applyAlignment="1">
      <alignment horizontal="right"/>
    </xf>
    <xf numFmtId="9" fontId="40" fillId="2" borderId="35" xfId="5" applyFont="1" applyFill="1" applyBorder="1" applyAlignment="1">
      <alignment horizontal="right"/>
    </xf>
    <xf numFmtId="169" fontId="39" fillId="8" borderId="12" xfId="4" applyNumberFormat="1" applyFont="1" applyFill="1" applyBorder="1"/>
    <xf numFmtId="169" fontId="23" fillId="0" borderId="12" xfId="6" applyNumberFormat="1" applyFont="1" applyBorder="1"/>
    <xf numFmtId="43" fontId="12" fillId="10" borderId="22" xfId="1" applyFont="1" applyFill="1" applyBorder="1"/>
    <xf numFmtId="0" fontId="14" fillId="10" borderId="29" xfId="6" applyFont="1" applyFill="1" applyBorder="1" applyAlignment="1">
      <alignment wrapText="1"/>
    </xf>
    <xf numFmtId="9" fontId="37" fillId="10" borderId="28" xfId="2" applyFont="1" applyFill="1" applyBorder="1"/>
    <xf numFmtId="0" fontId="12" fillId="12" borderId="1" xfId="6" applyFont="1" applyFill="1" applyBorder="1"/>
    <xf numFmtId="9" fontId="14" fillId="12" borderId="1" xfId="6" applyNumberFormat="1" applyFont="1" applyFill="1" applyBorder="1"/>
    <xf numFmtId="9" fontId="12" fillId="12" borderId="1" xfId="6" applyNumberFormat="1" applyFont="1" applyFill="1" applyBorder="1"/>
    <xf numFmtId="0" fontId="14" fillId="12" borderId="1" xfId="6" applyFont="1" applyFill="1" applyBorder="1"/>
    <xf numFmtId="0" fontId="14" fillId="12" borderId="2" xfId="6" applyFont="1" applyFill="1" applyBorder="1"/>
    <xf numFmtId="0" fontId="12" fillId="10" borderId="1" xfId="6" applyFont="1" applyFill="1" applyBorder="1"/>
    <xf numFmtId="165" fontId="12" fillId="10" borderId="1" xfId="6" applyNumberFormat="1" applyFont="1" applyFill="1" applyBorder="1"/>
    <xf numFmtId="9" fontId="12" fillId="10" borderId="1" xfId="6" applyNumberFormat="1" applyFont="1" applyFill="1" applyBorder="1"/>
    <xf numFmtId="3" fontId="14" fillId="10" borderId="1" xfId="6" applyNumberFormat="1" applyFont="1" applyFill="1" applyBorder="1"/>
    <xf numFmtId="3" fontId="22" fillId="10" borderId="1" xfId="6" applyNumberFormat="1" applyFont="1" applyFill="1" applyBorder="1"/>
    <xf numFmtId="3" fontId="14" fillId="10" borderId="2" xfId="6" applyNumberFormat="1" applyFont="1" applyFill="1" applyBorder="1"/>
    <xf numFmtId="0" fontId="14" fillId="12" borderId="12" xfId="6" quotePrefix="1" applyFont="1" applyFill="1" applyBorder="1" applyAlignment="1">
      <alignment horizontal="left"/>
    </xf>
    <xf numFmtId="9" fontId="14" fillId="12" borderId="19" xfId="6" applyNumberFormat="1" applyFont="1" applyFill="1" applyBorder="1"/>
    <xf numFmtId="3" fontId="14" fillId="12" borderId="12" xfId="6" applyNumberFormat="1" applyFont="1" applyFill="1" applyBorder="1"/>
    <xf numFmtId="3" fontId="14" fillId="12" borderId="19" xfId="6" applyNumberFormat="1" applyFont="1" applyFill="1" applyBorder="1"/>
    <xf numFmtId="3" fontId="14" fillId="12" borderId="20" xfId="6" applyNumberFormat="1" applyFont="1" applyFill="1" applyBorder="1"/>
    <xf numFmtId="165" fontId="14" fillId="12" borderId="12" xfId="6" quotePrefix="1" applyNumberFormat="1" applyFont="1" applyFill="1" applyBorder="1"/>
    <xf numFmtId="0" fontId="14" fillId="12" borderId="12" xfId="6" applyFont="1" applyFill="1" applyBorder="1"/>
    <xf numFmtId="165" fontId="14" fillId="12" borderId="12" xfId="6" applyNumberFormat="1" applyFont="1" applyFill="1" applyBorder="1"/>
    <xf numFmtId="3" fontId="14" fillId="12" borderId="13" xfId="6" applyNumberFormat="1" applyFont="1" applyFill="1" applyBorder="1"/>
    <xf numFmtId="0" fontId="12" fillId="12" borderId="19" xfId="6" applyFont="1" applyFill="1" applyBorder="1"/>
    <xf numFmtId="165" fontId="26" fillId="12" borderId="19" xfId="6" applyNumberFormat="1" applyFont="1" applyFill="1" applyBorder="1"/>
    <xf numFmtId="3" fontId="12" fillId="12" borderId="12" xfId="6" applyNumberFormat="1" applyFont="1" applyFill="1" applyBorder="1"/>
    <xf numFmtId="3" fontId="12" fillId="12" borderId="19" xfId="6" applyNumberFormat="1" applyFont="1" applyFill="1" applyBorder="1"/>
    <xf numFmtId="3" fontId="12" fillId="12" borderId="20" xfId="6" applyNumberFormat="1" applyFont="1" applyFill="1" applyBorder="1"/>
    <xf numFmtId="3" fontId="27" fillId="9" borderId="12" xfId="6" applyNumberFormat="1" applyFont="1" applyFill="1" applyBorder="1"/>
    <xf numFmtId="3" fontId="14" fillId="9" borderId="12" xfId="6" applyNumberFormat="1" applyFont="1" applyFill="1" applyBorder="1"/>
    <xf numFmtId="3" fontId="14" fillId="9" borderId="13" xfId="6" applyNumberFormat="1" applyFont="1" applyFill="1" applyBorder="1"/>
    <xf numFmtId="3" fontId="24" fillId="9" borderId="19" xfId="6" applyNumberFormat="1" applyFont="1" applyFill="1" applyBorder="1"/>
    <xf numFmtId="3" fontId="12" fillId="9" borderId="6" xfId="6" applyNumberFormat="1" applyFont="1" applyFill="1" applyBorder="1"/>
    <xf numFmtId="3" fontId="12" fillId="9" borderId="3" xfId="6" applyNumberFormat="1" applyFont="1" applyFill="1" applyBorder="1"/>
    <xf numFmtId="0" fontId="6" fillId="0" borderId="0" xfId="6" quotePrefix="1" applyFont="1" applyAlignment="1">
      <alignment horizontal="center" wrapText="1"/>
    </xf>
    <xf numFmtId="0" fontId="0" fillId="0" borderId="0" xfId="0" applyAlignment="1">
      <alignment horizontal="left" vertical="center" wrapText="1"/>
    </xf>
    <xf numFmtId="49" fontId="14" fillId="3" borderId="1" xfId="6" applyNumberFormat="1" applyFont="1" applyFill="1" applyBorder="1" applyAlignment="1">
      <alignment horizontal="center"/>
    </xf>
    <xf numFmtId="0" fontId="12" fillId="3" borderId="3" xfId="6" applyFont="1" applyFill="1" applyBorder="1" applyAlignment="1">
      <alignment horizontal="center" vertical="center" wrapText="1"/>
    </xf>
    <xf numFmtId="0" fontId="12" fillId="3" borderId="4" xfId="6" applyFont="1" applyFill="1" applyBorder="1" applyAlignment="1">
      <alignment horizontal="center" vertical="center" wrapText="1"/>
    </xf>
    <xf numFmtId="0" fontId="12" fillId="3" borderId="5" xfId="6" applyFont="1" applyFill="1" applyBorder="1" applyAlignment="1">
      <alignment horizontal="center" vertical="center" wrapText="1"/>
    </xf>
    <xf numFmtId="0" fontId="12" fillId="4" borderId="1" xfId="6" applyFont="1" applyFill="1" applyBorder="1" applyAlignment="1">
      <alignment horizontal="center" vertical="center" wrapText="1"/>
    </xf>
    <xf numFmtId="49" fontId="14" fillId="3" borderId="2" xfId="6" applyNumberFormat="1" applyFont="1" applyFill="1" applyBorder="1" applyAlignment="1">
      <alignment horizontal="center"/>
    </xf>
    <xf numFmtId="49" fontId="14" fillId="3" borderId="7" xfId="6" applyNumberFormat="1" applyFont="1" applyFill="1" applyBorder="1" applyAlignment="1">
      <alignment horizontal="center"/>
    </xf>
    <xf numFmtId="0" fontId="18" fillId="2" borderId="2" xfId="6" applyFont="1" applyFill="1" applyBorder="1" applyAlignment="1">
      <alignment horizontal="center" wrapText="1"/>
    </xf>
    <xf numFmtId="0" fontId="18" fillId="2" borderId="24" xfId="6" applyFont="1" applyFill="1" applyBorder="1" applyAlignment="1">
      <alignment horizontal="center" wrapText="1"/>
    </xf>
    <xf numFmtId="0" fontId="18" fillId="2" borderId="7" xfId="6" applyFont="1" applyFill="1" applyBorder="1" applyAlignment="1">
      <alignment horizontal="center" wrapText="1"/>
    </xf>
  </cellXfs>
  <cellStyles count="7">
    <cellStyle name="Komma" xfId="1" builtinId="3"/>
    <cellStyle name="Komma 2" xfId="4" xr:uid="{A8AE0315-9125-4538-8AE6-7DCEC6B9C8C3}"/>
    <cellStyle name="Link" xfId="3" builtinId="8"/>
    <cellStyle name="Prozent" xfId="2" builtinId="5"/>
    <cellStyle name="Prozent 2" xfId="5" xr:uid="{4CDF0B0E-AA8E-41C4-82C4-0FF6FAE88628}"/>
    <cellStyle name="Standard" xfId="0" builtinId="0"/>
    <cellStyle name="Standard_var 125 kW" xfId="6" xr:uid="{DA8704D8-05BD-4905-BF4B-52BAFAA2066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chartsheet" Target="chartsheets/sheet2.xml"/><Relationship Id="rId10" Type="http://schemas.openxmlformats.org/officeDocument/2006/relationships/calcChain" Target="calcChain.xml"/><Relationship Id="rId4" Type="http://schemas.openxmlformats.org/officeDocument/2006/relationships/chartsheet" Target="chartsheets/sheet1.xml"/><Relationship Id="rId9" Type="http://schemas.microsoft.com/office/2017/10/relationships/person" Target="persons/person.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160" b="1" i="0" u="none" strike="noStrike" kern="1200" spc="0" baseline="0">
                <a:solidFill>
                  <a:sysClr val="windowText" lastClr="000000"/>
                </a:solidFill>
                <a:latin typeface="+mn-lt"/>
                <a:ea typeface="+mn-ea"/>
                <a:cs typeface="+mn-cs"/>
              </a:defRPr>
            </a:pPr>
            <a:r>
              <a:rPr lang="de-CH" b="1"/>
              <a:t>Herkunft und Höhe der  Einnahmen</a:t>
            </a:r>
            <a:br>
              <a:rPr lang="de-CH" b="1"/>
            </a:br>
            <a:r>
              <a:rPr lang="de-CH" b="1"/>
              <a:t>in CHF/Jahr</a:t>
            </a:r>
          </a:p>
          <a:p>
            <a:pPr>
              <a:defRPr b="1"/>
            </a:pPr>
            <a:r>
              <a:rPr lang="de-CH" b="1"/>
              <a:t>30% Eigenverbrauch</a:t>
            </a:r>
            <a:br>
              <a:rPr lang="de-CH" b="1"/>
            </a:br>
            <a:r>
              <a:rPr lang="de-CH" b="1"/>
              <a:t>19.877 CHF/Jahr</a:t>
            </a:r>
            <a:r>
              <a:rPr lang="de-CH" b="1" baseline="0"/>
              <a:t> </a:t>
            </a:r>
            <a:endParaRPr lang="de-CH" b="1"/>
          </a:p>
        </c:rich>
      </c:tx>
      <c:overlay val="0"/>
      <c:spPr>
        <a:noFill/>
        <a:ln>
          <a:noFill/>
        </a:ln>
        <a:effectLst/>
      </c:spPr>
      <c:txPr>
        <a:bodyPr rot="0" spcFirstLastPara="1" vertOverflow="ellipsis" vert="horz" wrap="square" anchor="ctr" anchorCtr="1"/>
        <a:lstStyle/>
        <a:p>
          <a:pPr>
            <a:defRPr sz="2160" b="1" i="0" u="none" strike="noStrike" kern="1200" spc="0" baseline="0">
              <a:solidFill>
                <a:sysClr val="windowText" lastClr="000000"/>
              </a:solidFill>
              <a:latin typeface="+mn-lt"/>
              <a:ea typeface="+mn-ea"/>
              <a:cs typeface="+mn-cs"/>
            </a:defRPr>
          </a:pPr>
          <a:endParaRPr lang="de-DE"/>
        </a:p>
      </c:txPr>
    </c:title>
    <c:autoTitleDeleted val="0"/>
    <c:view3D>
      <c:rotX val="75"/>
      <c:rotY val="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w="25400">
                <a:solidFill>
                  <a:schemeClr val="lt1"/>
                </a:solidFill>
              </a:ln>
              <a:effectLst/>
              <a:sp3d contourW="25400">
                <a:contourClr>
                  <a:schemeClr val="lt1"/>
                </a:contourClr>
              </a:sp3d>
            </c:spPr>
            <c:extLst>
              <c:ext xmlns:c16="http://schemas.microsoft.com/office/drawing/2014/chart" uri="{C3380CC4-5D6E-409C-BE32-E72D297353CC}">
                <c16:uniqueId val="{00000001-F0DD-4B06-8EA5-9F939887A885}"/>
              </c:ext>
            </c:extLst>
          </c:dPt>
          <c:dPt>
            <c:idx val="1"/>
            <c:bubble3D val="0"/>
            <c:spPr>
              <a:solidFill>
                <a:schemeClr val="accent2"/>
              </a:solidFill>
              <a:ln w="25400">
                <a:solidFill>
                  <a:schemeClr val="lt1"/>
                </a:solidFill>
              </a:ln>
              <a:effectLst/>
              <a:sp3d contourW="25400">
                <a:contourClr>
                  <a:schemeClr val="lt1"/>
                </a:contourClr>
              </a:sp3d>
            </c:spPr>
            <c:extLst>
              <c:ext xmlns:c16="http://schemas.microsoft.com/office/drawing/2014/chart" uri="{C3380CC4-5D6E-409C-BE32-E72D297353CC}">
                <c16:uniqueId val="{00000003-F0DD-4B06-8EA5-9F939887A885}"/>
              </c:ext>
            </c:extLst>
          </c:dPt>
          <c:dLbls>
            <c:spPr>
              <a:solidFill>
                <a:schemeClr val="lt1"/>
              </a:solidFill>
              <a:ln w="25400" cap="flat" cmpd="sng" algn="ctr">
                <a:solidFill>
                  <a:schemeClr val="dk1"/>
                </a:solidFill>
                <a:prstDash val="solid"/>
              </a:ln>
              <a:effectLst/>
            </c:spPr>
            <c:txPr>
              <a:bodyPr rot="0" spcFirstLastPara="1" vertOverflow="ellipsis" vert="horz" wrap="square" lIns="38100" tIns="19050" rIns="38100" bIns="19050" anchor="ctr" anchorCtr="1">
                <a:spAutoFit/>
              </a:bodyPr>
              <a:lstStyle/>
              <a:p>
                <a:pPr>
                  <a:defRPr sz="1800" b="0" i="0" u="none" strike="noStrike" kern="1200" baseline="0">
                    <a:solidFill>
                      <a:schemeClr val="dk1"/>
                    </a:solidFill>
                    <a:latin typeface="+mn-lt"/>
                    <a:ea typeface="+mn-ea"/>
                    <a:cs typeface="+mn-cs"/>
                  </a:defRPr>
                </a:pPr>
                <a:endParaRPr lang="de-DE"/>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'Planerfolgsrechnung-Muster (G)'!$A$81:$A$82</c:f>
              <c:strCache>
                <c:ptCount val="2"/>
                <c:pt idx="0">
                  <c:v>Einsparung dank Eigenverbrauch</c:v>
                </c:pt>
                <c:pt idx="1">
                  <c:v>Erlös Netzeinspeisung</c:v>
                </c:pt>
              </c:strCache>
            </c:strRef>
          </c:cat>
          <c:val>
            <c:numRef>
              <c:f>'Planerfolgsrechnung-Muster (G)'!$B$81:$B$82</c:f>
              <c:numCache>
                <c:formatCode>_-* #,##0_-;\-* #,##0_-;_-* "-"??_-;_-@_-</c:formatCode>
                <c:ptCount val="2"/>
                <c:pt idx="0">
                  <c:v>12.294311969528174</c:v>
                </c:pt>
                <c:pt idx="1">
                  <c:v>8.6472214919999999</c:v>
                </c:pt>
              </c:numCache>
            </c:numRef>
          </c:val>
          <c:extLst>
            <c:ext xmlns:c16="http://schemas.microsoft.com/office/drawing/2014/chart" uri="{C3380CC4-5D6E-409C-BE32-E72D297353CC}">
              <c16:uniqueId val="{00000004-F0DD-4B06-8EA5-9F939887A885}"/>
            </c:ext>
          </c:extLst>
        </c:ser>
        <c:dLbls>
          <c:showLegendKey val="0"/>
          <c:showVal val="0"/>
          <c:showCatName val="0"/>
          <c:showSerName val="0"/>
          <c:showPercent val="0"/>
          <c:showBubbleSize val="0"/>
          <c:showLeaderLines val="1"/>
        </c:dLbls>
      </c:pie3DChart>
      <c:spPr>
        <a:noFill/>
        <a:ln>
          <a:noFill/>
        </a:ln>
        <a:effectLst/>
      </c:spPr>
    </c:plotArea>
    <c:legend>
      <c:legendPos val="l"/>
      <c:layout>
        <c:manualLayout>
          <c:xMode val="edge"/>
          <c:yMode val="edge"/>
          <c:x val="0.12434160383777343"/>
          <c:y val="0.48076485438816557"/>
          <c:w val="0.25392035940178315"/>
          <c:h val="0.20935341803044669"/>
        </c:manualLayout>
      </c:layout>
      <c:overlay val="0"/>
      <c:spPr>
        <a:noFill/>
        <a:ln>
          <a:noFill/>
        </a:ln>
        <a:effectLst/>
      </c:spPr>
      <c:txPr>
        <a:bodyPr rot="0" spcFirstLastPara="1" vertOverflow="ellipsis" vert="horz" wrap="square" anchor="ctr" anchorCtr="1"/>
        <a:lstStyle/>
        <a:p>
          <a:pPr>
            <a:defRPr sz="1800" b="0" i="0" u="none" strike="noStrike" kern="1200" baseline="0">
              <a:solidFill>
                <a:sysClr val="windowText" lastClr="000000"/>
              </a:solidFill>
              <a:latin typeface="+mn-lt"/>
              <a:ea typeface="+mn-ea"/>
              <a:cs typeface="+mn-cs"/>
            </a:defRPr>
          </a:pPr>
          <a:endParaRPr lang="de-D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800">
          <a:solidFill>
            <a:sysClr val="windowText" lastClr="000000"/>
          </a:solidFill>
        </a:defRPr>
      </a:pPr>
      <a:endParaRPr lang="de-DE"/>
    </a:p>
  </c:txPr>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160" b="0" i="0" u="none" strike="noStrike" kern="1200" spc="0" baseline="0">
                <a:solidFill>
                  <a:sysClr val="windowText" lastClr="000000"/>
                </a:solidFill>
                <a:latin typeface="+mn-lt"/>
                <a:ea typeface="+mn-ea"/>
                <a:cs typeface="+mn-cs"/>
              </a:defRPr>
            </a:pPr>
            <a:r>
              <a:rPr lang="de-CH"/>
              <a:t>Wohin fliesst die Stromerzeugung ?</a:t>
            </a:r>
          </a:p>
        </c:rich>
      </c:tx>
      <c:overlay val="0"/>
      <c:spPr>
        <a:noFill/>
        <a:ln>
          <a:noFill/>
        </a:ln>
        <a:effectLst/>
      </c:spPr>
      <c:txPr>
        <a:bodyPr rot="0" spcFirstLastPara="1" vertOverflow="ellipsis" vert="horz" wrap="square" anchor="ctr" anchorCtr="1"/>
        <a:lstStyle/>
        <a:p>
          <a:pPr>
            <a:defRPr sz="2160" b="0" i="0" u="none" strike="noStrike" kern="1200" spc="0" baseline="0">
              <a:solidFill>
                <a:sysClr val="windowText" lastClr="000000"/>
              </a:solidFill>
              <a:latin typeface="+mn-lt"/>
              <a:ea typeface="+mn-ea"/>
              <a:cs typeface="+mn-cs"/>
            </a:defRPr>
          </a:pPr>
          <a:endParaRPr lang="de-DE"/>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4326-4F50-ACA5-38FD8E149832}"/>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4326-4F50-ACA5-38FD8E149832}"/>
              </c:ext>
            </c:extLst>
          </c:dPt>
          <c:dLbls>
            <c:spPr>
              <a:noFill/>
              <a:ln>
                <a:noFill/>
              </a:ln>
              <a:effectLst/>
            </c:spPr>
            <c:txPr>
              <a:bodyPr rot="0" spcFirstLastPara="1" vertOverflow="ellipsis" vert="horz" wrap="square" lIns="38100" tIns="19050" rIns="38100" bIns="19050" anchor="ctr" anchorCtr="1">
                <a:spAutoFit/>
              </a:bodyPr>
              <a:lstStyle/>
              <a:p>
                <a:pPr>
                  <a:defRPr sz="1800" b="0" i="0" u="none" strike="noStrike" kern="1200" baseline="0">
                    <a:solidFill>
                      <a:sysClr val="windowText" lastClr="000000"/>
                    </a:solidFill>
                    <a:latin typeface="+mn-lt"/>
                    <a:ea typeface="+mn-ea"/>
                    <a:cs typeface="+mn-cs"/>
                  </a:defRPr>
                </a:pPr>
                <a:endParaRPr lang="de-DE"/>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'Planerfolgsrechnung-Muster (G)'!$A$79:$A$80</c:f>
              <c:strCache>
                <c:ptCount val="2"/>
                <c:pt idx="0">
                  <c:v>Verwendung für  Eigenverbrauch</c:v>
                </c:pt>
                <c:pt idx="1">
                  <c:v>Verwendung für Netzeinspeisung</c:v>
                </c:pt>
              </c:strCache>
            </c:strRef>
          </c:cat>
          <c:val>
            <c:numRef>
              <c:f>'Planerfolgsrechnung-Muster (G)'!$B$79:$B$80</c:f>
              <c:numCache>
                <c:formatCode>0%</c:formatCode>
                <c:ptCount val="2"/>
                <c:pt idx="0">
                  <c:v>0.3</c:v>
                </c:pt>
                <c:pt idx="1">
                  <c:v>0.7</c:v>
                </c:pt>
              </c:numCache>
            </c:numRef>
          </c:val>
          <c:extLst>
            <c:ext xmlns:c16="http://schemas.microsoft.com/office/drawing/2014/chart" uri="{C3380CC4-5D6E-409C-BE32-E72D297353CC}">
              <c16:uniqueId val="{00000004-4326-4F50-ACA5-38FD8E149832}"/>
            </c:ext>
          </c:extLst>
        </c:ser>
        <c:dLbls>
          <c:showLegendKey val="0"/>
          <c:showVal val="0"/>
          <c:showCatName val="0"/>
          <c:showSerName val="0"/>
          <c:showPercent val="0"/>
          <c:showBubbleSize val="0"/>
          <c:showLeaderLines val="1"/>
        </c:dLbls>
        <c:firstSliceAng val="0"/>
      </c:pieChart>
      <c:spPr>
        <a:noFill/>
        <a:ln>
          <a:noFill/>
        </a:ln>
        <a:effectLst/>
      </c:spPr>
    </c:plotArea>
    <c:legend>
      <c:legendPos val="l"/>
      <c:layout>
        <c:manualLayout>
          <c:xMode val="edge"/>
          <c:yMode val="edge"/>
          <c:x val="8.1973438454406959E-3"/>
          <c:y val="0.4897864517097949"/>
          <c:w val="0.19952033705068178"/>
          <c:h val="0.20938315116677506"/>
        </c:manualLayout>
      </c:layout>
      <c:overlay val="0"/>
      <c:spPr>
        <a:noFill/>
        <a:ln>
          <a:noFill/>
        </a:ln>
        <a:effectLst/>
      </c:spPr>
      <c:txPr>
        <a:bodyPr rot="0" spcFirstLastPara="1" vertOverflow="ellipsis" vert="horz" wrap="square" anchor="ctr" anchorCtr="1"/>
        <a:lstStyle/>
        <a:p>
          <a:pPr>
            <a:defRPr sz="1800" b="0" i="0" u="none" strike="noStrike" kern="1200" baseline="0">
              <a:solidFill>
                <a:sysClr val="windowText" lastClr="000000"/>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sz="1800">
          <a:solidFill>
            <a:sysClr val="windowText" lastClr="000000"/>
          </a:solidFill>
        </a:defRPr>
      </a:pPr>
      <a:endParaRPr lang="de-DE"/>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2.xml"/></Relationships>
</file>

<file path=xl/chartsheets/_rels/sheet2.xml.rels><?xml version="1.0" encoding="UTF-8" standalone="yes"?>
<Relationships xmlns="http://schemas.openxmlformats.org/package/2006/relationships"><Relationship Id="rId1" Type="http://schemas.openxmlformats.org/officeDocument/2006/relationships/drawing" Target="../drawings/drawing4.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17956A5A-36FE-4397-ADD9-BBD2583054E3}">
  <sheetPr/>
  <sheetViews>
    <sheetView tabSelected="1" zoomScale="93" workbookViewId="0" zoomToFit="1"/>
  </sheetViews>
  <pageMargins left="0.7" right="0.7" top="0.78740157499999996" bottom="0.78740157499999996" header="0.3" footer="0.3"/>
  <drawing r:id="rId1"/>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D6B176A3-4331-4370-A77D-9E0EF9F5E29F}">
  <sheetPr/>
  <sheetViews>
    <sheetView zoomScale="93" workbookViewId="0" zoomToFit="1"/>
  </sheetViews>
  <pageMargins left="0.7" right="0.7" top="0.78740157499999996" bottom="0.78740157499999996"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234406</xdr:colOff>
      <xdr:row>13</xdr:row>
      <xdr:rowOff>100962</xdr:rowOff>
    </xdr:to>
    <xdr:pic>
      <xdr:nvPicPr>
        <xdr:cNvPr id="2" name="Grafik 1">
          <a:extLst>
            <a:ext uri="{FF2B5EF4-FFF2-40B4-BE49-F238E27FC236}">
              <a16:creationId xmlns:a16="http://schemas.microsoft.com/office/drawing/2014/main" id="{D1F1FC09-B1BD-4682-A8CF-2CD1A43B4292}"/>
            </a:ext>
          </a:extLst>
        </xdr:cNvPr>
        <xdr:cNvPicPr>
          <a:picLocks noChangeAspect="1"/>
        </xdr:cNvPicPr>
      </xdr:nvPicPr>
      <xdr:blipFill>
        <a:blip xmlns:r="http://schemas.openxmlformats.org/officeDocument/2006/relationships" r:embed="rId1"/>
        <a:stretch>
          <a:fillRect/>
        </a:stretch>
      </xdr:blipFill>
      <xdr:spPr>
        <a:xfrm>
          <a:off x="0" y="1440180"/>
          <a:ext cx="7090503" cy="21717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absoluteAnchor>
    <xdr:pos x="0" y="0"/>
    <xdr:ext cx="9294556" cy="6006895"/>
    <xdr:graphicFrame macro="">
      <xdr:nvGraphicFramePr>
        <xdr:cNvPr id="15" name="Diagramm 1">
          <a:extLst>
            <a:ext uri="{FF2B5EF4-FFF2-40B4-BE49-F238E27FC236}">
              <a16:creationId xmlns:a16="http://schemas.microsoft.com/office/drawing/2014/main" id="{11FAE16E-A2AD-6FAC-B3DF-184D7C455325}"/>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c:userShapes xmlns:c="http://schemas.openxmlformats.org/drawingml/2006/chart">
  <cdr:relSizeAnchor xmlns:cdr="http://schemas.openxmlformats.org/drawingml/2006/chartDrawing">
    <cdr:from>
      <cdr:x>0.17961</cdr:x>
      <cdr:y>0.76897</cdr:y>
    </cdr:from>
    <cdr:to>
      <cdr:x>0.44298</cdr:x>
      <cdr:y>0.89599</cdr:y>
    </cdr:to>
    <cdr:sp macro="" textlink="">
      <cdr:nvSpPr>
        <cdr:cNvPr id="2" name="Textfeld 1">
          <a:extLst xmlns:a="http://schemas.openxmlformats.org/drawingml/2006/main">
            <a:ext uri="{FF2B5EF4-FFF2-40B4-BE49-F238E27FC236}">
              <a16:creationId xmlns:a16="http://schemas.microsoft.com/office/drawing/2014/main" id="{CF0AD728-E36A-94BE-44B6-4E1B5A4250D1}"/>
            </a:ext>
          </a:extLst>
        </cdr:cNvPr>
        <cdr:cNvSpPr txBox="1"/>
      </cdr:nvSpPr>
      <cdr:spPr>
        <a:xfrm xmlns:a="http://schemas.openxmlformats.org/drawingml/2006/main">
          <a:off x="1669435" y="4619113"/>
          <a:ext cx="2447823" cy="76302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de-CH" sz="1800" b="1" kern="1200">
              <a:solidFill>
                <a:srgbClr val="FF0000"/>
              </a:solidFill>
            </a:rPr>
            <a:t>Payback-Zeit 19 Jahre </a:t>
          </a:r>
        </a:p>
      </cdr:txBody>
    </cdr:sp>
  </cdr:relSizeAnchor>
</c:userShapes>
</file>

<file path=xl/drawings/drawing4.xml><?xml version="1.0" encoding="utf-8"?>
<xdr:wsDr xmlns:xdr="http://schemas.openxmlformats.org/drawingml/2006/spreadsheetDrawing" xmlns:a="http://schemas.openxmlformats.org/drawingml/2006/main">
  <xdr:absoluteAnchor>
    <xdr:pos x="0" y="0"/>
    <xdr:ext cx="9294556" cy="6006895"/>
    <xdr:graphicFrame macro="">
      <xdr:nvGraphicFramePr>
        <xdr:cNvPr id="2" name="Diagramm 1">
          <a:extLst>
            <a:ext uri="{FF2B5EF4-FFF2-40B4-BE49-F238E27FC236}">
              <a16:creationId xmlns:a16="http://schemas.microsoft.com/office/drawing/2014/main" id="{8E1314BA-C327-FDAA-16AE-E83B88A6214A}"/>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strompreis.elcom.admin.ch/map" TargetMode="External"/><Relationship Id="rId2" Type="http://schemas.openxmlformats.org/officeDocument/2006/relationships/hyperlink" Target="https://www.strompreis.elcom.admin.ch/map" TargetMode="External"/><Relationship Id="rId1" Type="http://schemas.openxmlformats.org/officeDocument/2006/relationships/hyperlink" Target="https://www.strompreis.elcom.admin.ch/map" TargetMode="External"/><Relationship Id="rId5" Type="http://schemas.openxmlformats.org/officeDocument/2006/relationships/printerSettings" Target="../printerSettings/printerSettings1.bin"/><Relationship Id="rId4" Type="http://schemas.openxmlformats.org/officeDocument/2006/relationships/hyperlink" Target="https://www.vese.ch/pvtari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vese.ch/pvtarif/" TargetMode="External"/><Relationship Id="rId2" Type="http://schemas.openxmlformats.org/officeDocument/2006/relationships/hyperlink" Target="https://www.strompreis.elcom.admin.ch/map" TargetMode="External"/><Relationship Id="rId1" Type="http://schemas.openxmlformats.org/officeDocument/2006/relationships/hyperlink" Target="https://pubdb.bfe.admin.ch/de/publication/download/12694"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ED88E7-0B8A-4D5B-B005-16D54865BC53}">
  <dimension ref="A1:U63"/>
  <sheetViews>
    <sheetView workbookViewId="0">
      <selection activeCell="B11" sqref="B11"/>
    </sheetView>
  </sheetViews>
  <sheetFormatPr baseColWidth="10" defaultRowHeight="12.75"/>
  <cols>
    <col min="1" max="1" width="6.73046875" bestFit="1" customWidth="1"/>
    <col min="2" max="2" width="6.265625" bestFit="1" customWidth="1"/>
    <col min="3" max="3" width="77.73046875" customWidth="1"/>
    <col min="4" max="4" width="5.46484375" bestFit="1" customWidth="1"/>
    <col min="5" max="5" width="6.46484375" bestFit="1" customWidth="1"/>
    <col min="6" max="6" width="9" bestFit="1" customWidth="1"/>
    <col min="7" max="7" width="12.46484375" bestFit="1" customWidth="1"/>
    <col min="8" max="8" width="14.6640625" bestFit="1" customWidth="1"/>
    <col min="9" max="9" width="13.86328125" bestFit="1" customWidth="1"/>
    <col min="10" max="10" width="14.59765625" bestFit="1" customWidth="1"/>
    <col min="11" max="11" width="14.3984375" bestFit="1" customWidth="1"/>
    <col min="12" max="12" width="14.1328125" bestFit="1" customWidth="1"/>
    <col min="13" max="13" width="12.86328125" bestFit="1" customWidth="1"/>
    <col min="14" max="14" width="14.86328125" bestFit="1" customWidth="1"/>
    <col min="15" max="15" width="13.53125" bestFit="1" customWidth="1"/>
    <col min="16" max="16" width="13.53125" customWidth="1"/>
    <col min="17" max="17" width="15.265625" bestFit="1" customWidth="1"/>
    <col min="18" max="18" width="13.33203125" bestFit="1" customWidth="1"/>
    <col min="19" max="19" width="15.265625" bestFit="1" customWidth="1"/>
  </cols>
  <sheetData>
    <row r="1" spans="1:21">
      <c r="E1" s="1"/>
      <c r="G1" s="2"/>
      <c r="H1" s="2"/>
      <c r="I1" s="2"/>
      <c r="J1" s="3"/>
      <c r="L1" s="2"/>
      <c r="S1" s="4"/>
      <c r="U1" s="5"/>
    </row>
    <row r="2" spans="1:21" ht="63.4" customHeight="1">
      <c r="B2" s="287" t="s">
        <v>0</v>
      </c>
      <c r="C2" s="287"/>
      <c r="D2" s="287"/>
      <c r="E2" s="287"/>
      <c r="F2" s="287"/>
      <c r="G2" s="287"/>
      <c r="H2" s="287"/>
      <c r="I2" s="287"/>
      <c r="J2" s="3"/>
      <c r="L2" s="2"/>
      <c r="S2" s="4"/>
      <c r="U2" s="5"/>
    </row>
    <row r="3" spans="1:21" ht="20.65">
      <c r="B3" s="6" t="s">
        <v>125</v>
      </c>
      <c r="J3" s="7"/>
      <c r="L3" s="7"/>
      <c r="S3" s="4"/>
      <c r="U3" s="5"/>
    </row>
    <row r="4" spans="1:21" ht="13.15">
      <c r="B4" s="193" t="s">
        <v>1</v>
      </c>
      <c r="E4" s="1"/>
      <c r="G4" s="2"/>
      <c r="H4" s="2"/>
    </row>
    <row r="5" spans="1:21">
      <c r="A5" s="8" t="s">
        <v>2</v>
      </c>
      <c r="E5" s="1"/>
      <c r="G5" s="2"/>
      <c r="H5" s="2"/>
    </row>
    <row r="6" spans="1:21" ht="13.15">
      <c r="A6" s="194">
        <v>1</v>
      </c>
      <c r="B6" s="193" t="s">
        <v>3</v>
      </c>
      <c r="E6" s="1"/>
      <c r="G6" s="2"/>
      <c r="H6" s="2"/>
    </row>
    <row r="7" spans="1:21">
      <c r="B7" s="8" t="s">
        <v>4</v>
      </c>
      <c r="E7" s="1"/>
      <c r="G7" s="2"/>
      <c r="H7" s="2"/>
    </row>
    <row r="8" spans="1:21">
      <c r="B8" s="8" t="s">
        <v>5</v>
      </c>
      <c r="E8" s="1"/>
      <c r="G8" s="2"/>
      <c r="H8" s="2"/>
    </row>
    <row r="9" spans="1:21">
      <c r="B9" s="8" t="s">
        <v>6</v>
      </c>
      <c r="E9" s="1"/>
      <c r="H9" s="7"/>
      <c r="I9" s="2"/>
      <c r="J9" s="3"/>
      <c r="L9" s="2"/>
      <c r="S9" s="4"/>
      <c r="U9" s="5"/>
    </row>
    <row r="10" spans="1:21">
      <c r="B10" s="9" t="s">
        <v>124</v>
      </c>
      <c r="E10" s="1"/>
      <c r="H10" s="7"/>
      <c r="I10" s="2"/>
      <c r="J10" s="3"/>
      <c r="L10" s="2"/>
      <c r="S10" s="4"/>
      <c r="U10" s="5"/>
    </row>
    <row r="11" spans="1:21">
      <c r="B11" s="10" t="s">
        <v>7</v>
      </c>
      <c r="E11" s="1"/>
      <c r="H11" s="7"/>
      <c r="I11" s="2"/>
      <c r="J11" s="3"/>
      <c r="L11" s="2"/>
      <c r="S11" s="4"/>
      <c r="U11" s="5"/>
    </row>
    <row r="12" spans="1:21">
      <c r="B12" s="8"/>
      <c r="E12" s="1"/>
      <c r="H12" s="7"/>
      <c r="I12" s="2"/>
      <c r="J12" s="3"/>
      <c r="L12" s="2"/>
      <c r="S12" s="4"/>
      <c r="U12" s="5"/>
    </row>
    <row r="13" spans="1:21" ht="13.15">
      <c r="A13" s="194">
        <v>2</v>
      </c>
      <c r="B13" s="193" t="s">
        <v>126</v>
      </c>
      <c r="E13" s="1"/>
      <c r="H13" s="7"/>
      <c r="I13" s="2"/>
      <c r="J13" s="3"/>
      <c r="L13" s="2"/>
      <c r="S13" s="4"/>
      <c r="U13" s="5"/>
    </row>
    <row r="14" spans="1:21">
      <c r="B14" s="8" t="s">
        <v>127</v>
      </c>
      <c r="E14" s="1"/>
    </row>
    <row r="15" spans="1:21">
      <c r="A15" s="11"/>
      <c r="B15" s="8" t="s">
        <v>128</v>
      </c>
    </row>
    <row r="16" spans="1:21">
      <c r="A16" s="11"/>
      <c r="B16" s="203" t="s">
        <v>144</v>
      </c>
    </row>
    <row r="17" spans="1:15">
      <c r="A17" s="11"/>
      <c r="B17" s="203" t="s">
        <v>8</v>
      </c>
      <c r="D17" s="12"/>
      <c r="E17" s="12"/>
      <c r="F17" s="12"/>
    </row>
    <row r="18" spans="1:15">
      <c r="A18" s="11"/>
      <c r="B18" s="13"/>
      <c r="D18" s="12"/>
      <c r="E18" s="12"/>
      <c r="F18" s="12"/>
    </row>
    <row r="19" spans="1:15" ht="13.15">
      <c r="A19" s="195">
        <v>3</v>
      </c>
      <c r="B19" s="193" t="s">
        <v>129</v>
      </c>
    </row>
    <row r="20" spans="1:15" ht="44.65" customHeight="1">
      <c r="A20" s="11"/>
      <c r="B20" s="288" t="s">
        <v>139</v>
      </c>
      <c r="C20" s="288"/>
    </row>
    <row r="21" spans="1:15">
      <c r="A21" s="11"/>
      <c r="B21" s="8" t="s">
        <v>130</v>
      </c>
    </row>
    <row r="22" spans="1:15">
      <c r="A22" s="11"/>
      <c r="B22" s="8" t="s">
        <v>9</v>
      </c>
    </row>
    <row r="23" spans="1:15" ht="13.15">
      <c r="A23" s="11" t="s">
        <v>131</v>
      </c>
      <c r="B23" s="8" t="s">
        <v>145</v>
      </c>
    </row>
    <row r="24" spans="1:15">
      <c r="A24" s="11"/>
      <c r="B24" s="67" t="s">
        <v>56</v>
      </c>
      <c r="C24" s="68" t="s">
        <v>57</v>
      </c>
    </row>
    <row r="25" spans="1:15">
      <c r="A25" s="11"/>
      <c r="B25" s="66" t="s">
        <v>58</v>
      </c>
      <c r="C25" s="68" t="s">
        <v>57</v>
      </c>
    </row>
    <row r="26" spans="1:15">
      <c r="B26" s="66" t="s">
        <v>59</v>
      </c>
      <c r="C26" s="68" t="s">
        <v>57</v>
      </c>
      <c r="O26" s="66"/>
    </row>
    <row r="27" spans="1:15" ht="13.15">
      <c r="A27" s="11" t="s">
        <v>132</v>
      </c>
      <c r="B27" s="8" t="s">
        <v>146</v>
      </c>
      <c r="O27" s="66"/>
    </row>
    <row r="28" spans="1:15">
      <c r="A28" s="11"/>
      <c r="B28" s="66" t="s">
        <v>60</v>
      </c>
      <c r="C28" s="68" t="s">
        <v>61</v>
      </c>
      <c r="O28" s="66"/>
    </row>
    <row r="29" spans="1:15">
      <c r="A29" s="11" t="s">
        <v>133</v>
      </c>
      <c r="B29" s="8" t="s">
        <v>10</v>
      </c>
      <c r="O29" s="66"/>
    </row>
    <row r="30" spans="1:15" ht="63.4" customHeight="1">
      <c r="A30" s="11"/>
      <c r="B30" s="197"/>
      <c r="C30" s="196" t="s">
        <v>135</v>
      </c>
    </row>
    <row r="31" spans="1:15">
      <c r="A31" s="11"/>
    </row>
    <row r="32" spans="1:15">
      <c r="A32" s="11"/>
      <c r="B32" s="14" t="s">
        <v>134</v>
      </c>
      <c r="C32" s="15"/>
      <c r="D32" s="15"/>
      <c r="E32" s="15"/>
      <c r="F32" s="15"/>
    </row>
    <row r="33" spans="1:6">
      <c r="A33" s="11">
        <v>4</v>
      </c>
      <c r="B33" s="8" t="s">
        <v>11</v>
      </c>
    </row>
    <row r="34" spans="1:6">
      <c r="A34" s="11"/>
      <c r="B34" s="8" t="s">
        <v>147</v>
      </c>
    </row>
    <row r="35" spans="1:6">
      <c r="A35">
        <v>5</v>
      </c>
      <c r="B35" s="8" t="s">
        <v>148</v>
      </c>
    </row>
    <row r="36" spans="1:6">
      <c r="A36" s="11"/>
      <c r="B36" s="8"/>
    </row>
    <row r="37" spans="1:6">
      <c r="A37" s="11"/>
      <c r="B37" s="8"/>
    </row>
    <row r="38" spans="1:6">
      <c r="A38" s="11"/>
      <c r="B38" s="8"/>
    </row>
    <row r="39" spans="1:6">
      <c r="A39" s="11"/>
      <c r="B39" s="8"/>
    </row>
    <row r="40" spans="1:6">
      <c r="A40" s="11"/>
      <c r="B40" s="8"/>
    </row>
    <row r="41" spans="1:6">
      <c r="A41" s="11"/>
      <c r="B41" s="8"/>
    </row>
    <row r="42" spans="1:6">
      <c r="A42" s="11"/>
      <c r="B42" s="8"/>
    </row>
    <row r="43" spans="1:6">
      <c r="A43" s="11"/>
      <c r="B43" s="8"/>
    </row>
    <row r="44" spans="1:6">
      <c r="A44" s="11"/>
      <c r="B44" s="16"/>
      <c r="C44" s="17"/>
      <c r="D44" s="5"/>
      <c r="E44" s="5"/>
      <c r="F44" s="5"/>
    </row>
    <row r="45" spans="1:6">
      <c r="A45" s="11"/>
      <c r="B45" s="8"/>
    </row>
    <row r="46" spans="1:6">
      <c r="A46" s="11"/>
      <c r="B46" s="16"/>
      <c r="C46" s="17"/>
      <c r="D46" s="5"/>
      <c r="E46" s="5"/>
      <c r="F46" s="5"/>
    </row>
    <row r="47" spans="1:6">
      <c r="B47" s="8"/>
    </row>
    <row r="48" spans="1:6">
      <c r="B48" s="8"/>
    </row>
    <row r="49" spans="2:2">
      <c r="B49" s="8"/>
    </row>
    <row r="50" spans="2:2">
      <c r="B50" s="8"/>
    </row>
    <row r="51" spans="2:2">
      <c r="B51" s="8"/>
    </row>
    <row r="52" spans="2:2">
      <c r="B52" s="8"/>
    </row>
    <row r="53" spans="2:2">
      <c r="B53" s="8"/>
    </row>
    <row r="54" spans="2:2">
      <c r="B54" s="8"/>
    </row>
    <row r="55" spans="2:2">
      <c r="B55" s="8"/>
    </row>
    <row r="56" spans="2:2">
      <c r="B56" s="8"/>
    </row>
    <row r="57" spans="2:2">
      <c r="B57" s="8"/>
    </row>
    <row r="58" spans="2:2">
      <c r="B58" s="8"/>
    </row>
    <row r="59" spans="2:2">
      <c r="B59" s="8"/>
    </row>
    <row r="60" spans="2:2">
      <c r="B60" s="8"/>
    </row>
    <row r="61" spans="2:2">
      <c r="B61" s="8"/>
    </row>
    <row r="62" spans="2:2">
      <c r="B62" s="8"/>
    </row>
    <row r="63" spans="2:2">
      <c r="B63" s="8"/>
    </row>
  </sheetData>
  <mergeCells count="2">
    <mergeCell ref="B2:I2"/>
    <mergeCell ref="B20:C20"/>
  </mergeCells>
  <hyperlinks>
    <hyperlink ref="C24" r:id="rId1" xr:uid="{795427E0-A75B-46DF-B6FD-F562044F0EF9}"/>
    <hyperlink ref="C25" r:id="rId2" xr:uid="{372100C3-D8BF-46BE-9362-0DAB6B01EE64}"/>
    <hyperlink ref="C26" r:id="rId3" xr:uid="{E474BF8D-697A-4A1C-B1D1-0CC591B96A36}"/>
    <hyperlink ref="C28" r:id="rId4" location="MapTitle" xr:uid="{3F07A03D-188C-4F67-9414-71D7333796C3}"/>
  </hyperlinks>
  <pageMargins left="0.7" right="0.7" top="0.78740157499999996" bottom="0.78740157499999996" header="0.3" footer="0.3"/>
  <pageSetup paperSize="9" orientation="portrait" r:id="rId5"/>
  <colBreaks count="1" manualBreakCount="1">
    <brk id="5" max="1048575" man="1"/>
  </col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E3957-7E4A-4294-8609-72D32CED5302}">
  <sheetPr>
    <outlinePr summaryBelow="0"/>
    <pageSetUpPr fitToPage="1"/>
  </sheetPr>
  <dimension ref="A2:AJ105"/>
  <sheetViews>
    <sheetView topLeftCell="B1" workbookViewId="0">
      <selection activeCell="B26" sqref="B26"/>
    </sheetView>
  </sheetViews>
  <sheetFormatPr baseColWidth="10" defaultColWidth="11.59765625" defaultRowHeight="10.15" outlineLevelCol="1"/>
  <cols>
    <col min="1" max="1" width="41.59765625" style="20" bestFit="1" customWidth="1"/>
    <col min="2" max="2" width="8.46484375" style="52" bestFit="1" customWidth="1"/>
    <col min="3" max="3" width="7.6640625" style="20" customWidth="1" outlineLevel="1"/>
    <col min="4" max="4" width="6.46484375" style="20" bestFit="1" customWidth="1"/>
    <col min="5" max="5" width="9.796875" style="20" bestFit="1" customWidth="1"/>
    <col min="6" max="6" width="9" style="20" bestFit="1" customWidth="1"/>
    <col min="7" max="7" width="8.73046875" style="20" bestFit="1" customWidth="1"/>
    <col min="8" max="8" width="7.86328125" style="20" bestFit="1" customWidth="1"/>
    <col min="9" max="9" width="8.33203125" style="20" bestFit="1" customWidth="1"/>
    <col min="10" max="10" width="6.73046875" style="20" bestFit="1" customWidth="1"/>
    <col min="11" max="11" width="8.73046875" style="20" bestFit="1" customWidth="1"/>
    <col min="12" max="12" width="9.6640625" style="20" customWidth="1"/>
    <col min="13" max="13" width="9.796875" style="20" customWidth="1"/>
    <col min="14" max="14" width="12.33203125" style="20" customWidth="1"/>
    <col min="15" max="15" width="6.73046875" style="20" customWidth="1"/>
    <col min="16" max="16" width="13.33203125" style="20" customWidth="1"/>
    <col min="17" max="17" width="9.9296875" style="20" bestFit="1" customWidth="1"/>
    <col min="18" max="34" width="8.796875" style="20" bestFit="1" customWidth="1"/>
    <col min="35" max="36" width="11.6640625" style="20" bestFit="1" customWidth="1"/>
    <col min="37" max="16384" width="11.59765625" style="20"/>
  </cols>
  <sheetData>
    <row r="2" spans="1:34" ht="48.4" customHeight="1" thickBot="1">
      <c r="A2" s="18" t="s">
        <v>187</v>
      </c>
      <c r="B2" s="19"/>
      <c r="C2" s="210" t="s">
        <v>12</v>
      </c>
      <c r="D2" s="210" t="s">
        <v>13</v>
      </c>
      <c r="E2" s="199" t="s">
        <v>142</v>
      </c>
      <c r="F2" s="200" t="s">
        <v>140</v>
      </c>
      <c r="G2" s="219" t="s">
        <v>141</v>
      </c>
      <c r="H2" s="201" t="s">
        <v>14</v>
      </c>
      <c r="I2" s="198" t="s">
        <v>15</v>
      </c>
      <c r="J2" s="210" t="s">
        <v>16</v>
      </c>
      <c r="K2" s="200" t="s">
        <v>17</v>
      </c>
      <c r="L2" s="219" t="s">
        <v>155</v>
      </c>
      <c r="M2" s="200" t="s">
        <v>18</v>
      </c>
      <c r="N2" s="210" t="s">
        <v>19</v>
      </c>
      <c r="O2" s="227" t="s">
        <v>20</v>
      </c>
      <c r="P2" s="202" t="s">
        <v>136</v>
      </c>
      <c r="Q2" s="290" t="s">
        <v>21</v>
      </c>
      <c r="R2" s="291"/>
      <c r="S2" s="291"/>
      <c r="T2" s="291"/>
      <c r="U2" s="292"/>
      <c r="V2" s="293" t="s">
        <v>22</v>
      </c>
      <c r="W2" s="293"/>
      <c r="X2" s="293"/>
      <c r="Y2" s="293"/>
    </row>
    <row r="3" spans="1:34" ht="17.649999999999999" customHeight="1" thickBot="1">
      <c r="A3" s="21" t="s">
        <v>23</v>
      </c>
      <c r="B3" s="209" t="s">
        <v>24</v>
      </c>
      <c r="C3" s="211">
        <v>1</v>
      </c>
      <c r="D3" s="211">
        <v>1</v>
      </c>
      <c r="E3" s="212">
        <f>D3*C3</f>
        <v>1</v>
      </c>
      <c r="F3" s="218">
        <f>E3/5</f>
        <v>0.2</v>
      </c>
      <c r="G3" s="220">
        <v>0.1</v>
      </c>
      <c r="H3" s="212">
        <f>F3*(1-G3)</f>
        <v>0.18000000000000002</v>
      </c>
      <c r="I3" s="221"/>
      <c r="J3" s="222">
        <f>U7</f>
        <v>1799.28</v>
      </c>
      <c r="K3" s="224">
        <f>H3*J3</f>
        <v>323.87040000000002</v>
      </c>
      <c r="L3" s="222">
        <v>900</v>
      </c>
      <c r="M3" s="23">
        <f>L3*H3</f>
        <v>162.00000000000003</v>
      </c>
      <c r="N3" s="222">
        <f>$V$6</f>
        <v>360</v>
      </c>
      <c r="O3" s="222">
        <v>0</v>
      </c>
      <c r="P3" s="226">
        <f>H3*N3+H3*O3</f>
        <v>64.800000000000011</v>
      </c>
      <c r="Q3" s="289" t="s">
        <v>25</v>
      </c>
      <c r="R3" s="289"/>
      <c r="S3" s="25" t="s">
        <v>26</v>
      </c>
      <c r="T3" s="26" t="s">
        <v>27</v>
      </c>
      <c r="U3" s="25" t="s">
        <v>28</v>
      </c>
      <c r="V3" s="27" t="s">
        <v>29</v>
      </c>
      <c r="W3" s="28" t="s">
        <v>30</v>
      </c>
      <c r="X3" s="28" t="s">
        <v>31</v>
      </c>
      <c r="Y3" s="28" t="s">
        <v>32</v>
      </c>
    </row>
    <row r="4" spans="1:34" ht="12" customHeight="1" thickBot="1">
      <c r="A4" s="29" t="s">
        <v>33</v>
      </c>
      <c r="B4" s="214" t="s">
        <v>24</v>
      </c>
      <c r="C4" s="211">
        <v>0.1</v>
      </c>
      <c r="D4" s="211">
        <v>0.1</v>
      </c>
      <c r="E4" s="212">
        <f t="shared" ref="E4:E6" si="0">D4*C4</f>
        <v>1.0000000000000002E-2</v>
      </c>
      <c r="F4" s="24">
        <f>E4/5</f>
        <v>2.0000000000000005E-3</v>
      </c>
      <c r="G4" s="220">
        <v>0.1</v>
      </c>
      <c r="H4" s="213">
        <f>F4*(1-G4)</f>
        <v>1.8000000000000004E-3</v>
      </c>
      <c r="I4" s="223"/>
      <c r="J4" s="222">
        <f>U7</f>
        <v>1799.28</v>
      </c>
      <c r="K4" s="225">
        <f>H4*J3</f>
        <v>3.2387040000000007</v>
      </c>
      <c r="L4" s="222">
        <v>900</v>
      </c>
      <c r="M4" s="23">
        <f>L4*H4</f>
        <v>1.6200000000000003</v>
      </c>
      <c r="N4" s="222">
        <f t="shared" ref="N4:N7" si="1">$V$6</f>
        <v>360</v>
      </c>
      <c r="O4" s="222">
        <v>0</v>
      </c>
      <c r="P4" s="226">
        <f>H4*N4+H4*O4</f>
        <v>0.64800000000000013</v>
      </c>
      <c r="Q4" s="294" t="s">
        <v>34</v>
      </c>
      <c r="R4" s="295"/>
      <c r="S4" s="33" t="s">
        <v>35</v>
      </c>
      <c r="T4" s="34"/>
      <c r="U4" s="33" t="s">
        <v>35</v>
      </c>
      <c r="V4" s="35" t="s">
        <v>35</v>
      </c>
      <c r="W4" s="35" t="s">
        <v>35</v>
      </c>
      <c r="X4" s="35" t="s">
        <v>35</v>
      </c>
      <c r="Y4" s="35" t="s">
        <v>35</v>
      </c>
    </row>
    <row r="5" spans="1:34" ht="12" customHeight="1" thickBot="1">
      <c r="A5" s="29" t="s">
        <v>36</v>
      </c>
      <c r="B5" s="214" t="s">
        <v>24</v>
      </c>
      <c r="C5" s="211">
        <v>0.1</v>
      </c>
      <c r="D5" s="211">
        <v>0.1</v>
      </c>
      <c r="E5" s="212">
        <f t="shared" si="0"/>
        <v>1.0000000000000002E-2</v>
      </c>
      <c r="F5" s="24">
        <f>E5/5</f>
        <v>2.0000000000000005E-3</v>
      </c>
      <c r="G5" s="220">
        <v>0.5</v>
      </c>
      <c r="H5" s="213">
        <f>F5*(1-G5)</f>
        <v>1.0000000000000002E-3</v>
      </c>
      <c r="I5" s="223"/>
      <c r="J5" s="222">
        <f>U7</f>
        <v>1799.28</v>
      </c>
      <c r="K5" s="225">
        <f>H5*J5</f>
        <v>1.7992800000000004</v>
      </c>
      <c r="L5" s="222">
        <v>700</v>
      </c>
      <c r="M5" s="23">
        <f>L5*H5</f>
        <v>0.70000000000000018</v>
      </c>
      <c r="N5" s="222">
        <f t="shared" si="1"/>
        <v>360</v>
      </c>
      <c r="O5" s="222">
        <v>200</v>
      </c>
      <c r="P5" s="226">
        <f>H5*N5+H5*O5</f>
        <v>0.56000000000000016</v>
      </c>
      <c r="Q5" s="289" t="s">
        <v>37</v>
      </c>
      <c r="R5" s="289"/>
      <c r="S5" s="36">
        <v>2497</v>
      </c>
      <c r="T5" s="37">
        <v>0</v>
      </c>
      <c r="U5" s="38">
        <f>S5</f>
        <v>2497</v>
      </c>
      <c r="V5" s="39">
        <v>360</v>
      </c>
      <c r="W5" s="39">
        <v>200</v>
      </c>
      <c r="X5" s="39">
        <v>250</v>
      </c>
      <c r="Y5" s="39">
        <v>250</v>
      </c>
    </row>
    <row r="6" spans="1:34" ht="12" customHeight="1" thickBot="1">
      <c r="A6" s="29" t="s">
        <v>143</v>
      </c>
      <c r="B6" s="214" t="s">
        <v>24</v>
      </c>
      <c r="C6" s="211">
        <v>0.1</v>
      </c>
      <c r="D6" s="211">
        <v>0.1</v>
      </c>
      <c r="E6" s="212">
        <f t="shared" si="0"/>
        <v>1.0000000000000002E-2</v>
      </c>
      <c r="F6" s="24">
        <f t="shared" ref="F6:F7" si="2">E6/5</f>
        <v>2.0000000000000005E-3</v>
      </c>
      <c r="G6" s="220">
        <v>0.75</v>
      </c>
      <c r="H6" s="213">
        <f t="shared" ref="H6:H7" si="3">F6*(1-G6)</f>
        <v>5.0000000000000012E-4</v>
      </c>
      <c r="I6" s="223"/>
      <c r="J6" s="222">
        <f>U6</f>
        <v>2637.18</v>
      </c>
      <c r="K6" s="225">
        <f t="shared" ref="K6:K7" si="4">H6*J6</f>
        <v>1.3185900000000002</v>
      </c>
      <c r="L6" s="222">
        <v>700</v>
      </c>
      <c r="M6" s="23">
        <f t="shared" ref="M6:M7" si="5">L6*H6</f>
        <v>0.35000000000000009</v>
      </c>
      <c r="N6" s="222">
        <f t="shared" si="1"/>
        <v>360</v>
      </c>
      <c r="O6" s="222">
        <v>200</v>
      </c>
      <c r="P6" s="226">
        <f t="shared" ref="P6:P7" si="6">H6*N6+H6*O6</f>
        <v>0.28000000000000008</v>
      </c>
      <c r="Q6" s="289" t="s">
        <v>39</v>
      </c>
      <c r="R6" s="289"/>
      <c r="S6" s="36">
        <v>1911</v>
      </c>
      <c r="T6" s="40">
        <v>0.38</v>
      </c>
      <c r="U6" s="38">
        <f t="shared" ref="U6:U12" si="7">S6*(1+T6)</f>
        <v>2637.18</v>
      </c>
      <c r="V6" s="39">
        <v>360</v>
      </c>
      <c r="W6" s="39">
        <v>200</v>
      </c>
      <c r="X6" s="39">
        <v>250</v>
      </c>
      <c r="Y6" s="39">
        <v>250</v>
      </c>
    </row>
    <row r="7" spans="1:34" ht="12" customHeight="1" thickBot="1">
      <c r="A7" s="41" t="s">
        <v>38</v>
      </c>
      <c r="B7" s="216" t="s">
        <v>24</v>
      </c>
      <c r="C7" s="211"/>
      <c r="D7" s="211"/>
      <c r="E7" s="213">
        <f t="shared" ref="E7" si="8">D7*C7</f>
        <v>0</v>
      </c>
      <c r="F7" s="24">
        <f t="shared" si="2"/>
        <v>0</v>
      </c>
      <c r="G7" s="220"/>
      <c r="H7" s="213">
        <f t="shared" si="3"/>
        <v>0</v>
      </c>
      <c r="I7" s="223"/>
      <c r="J7" s="222"/>
      <c r="K7" s="225">
        <f t="shared" si="4"/>
        <v>0</v>
      </c>
      <c r="L7" s="222"/>
      <c r="M7" s="23">
        <f t="shared" si="5"/>
        <v>0</v>
      </c>
      <c r="N7" s="222">
        <f t="shared" si="1"/>
        <v>360</v>
      </c>
      <c r="O7" s="222">
        <v>0</v>
      </c>
      <c r="P7" s="226">
        <f t="shared" si="6"/>
        <v>0</v>
      </c>
      <c r="Q7" s="289" t="s">
        <v>40</v>
      </c>
      <c r="R7" s="289"/>
      <c r="S7" s="36">
        <v>1428</v>
      </c>
      <c r="T7" s="40">
        <v>0.26</v>
      </c>
      <c r="U7" s="38">
        <f t="shared" si="7"/>
        <v>1799.28</v>
      </c>
      <c r="V7" s="42">
        <v>300</v>
      </c>
      <c r="W7" s="39">
        <v>200</v>
      </c>
      <c r="X7" s="39">
        <v>250</v>
      </c>
      <c r="Y7" s="39">
        <v>250</v>
      </c>
    </row>
    <row r="8" spans="1:34" ht="12" customHeight="1">
      <c r="A8" s="43" t="s">
        <v>41</v>
      </c>
      <c r="B8" s="30" t="s">
        <v>24</v>
      </c>
      <c r="C8" s="217"/>
      <c r="D8" s="215"/>
      <c r="E8" s="44">
        <f>SUM(E3:E7)</f>
        <v>1.03</v>
      </c>
      <c r="F8" s="44">
        <f>SUM(F3:F7)</f>
        <v>0.20600000000000002</v>
      </c>
      <c r="G8" s="217"/>
      <c r="H8" s="31">
        <f>SUM(H3:H7)</f>
        <v>0.18330000000000002</v>
      </c>
      <c r="I8" s="45"/>
      <c r="J8" s="22"/>
      <c r="K8" s="32">
        <f>SUM(K3:K7)</f>
        <v>330.22697399999998</v>
      </c>
      <c r="L8" s="215"/>
      <c r="M8" s="32">
        <f t="shared" ref="M8" si="9">SUM(M3:M7)</f>
        <v>164.67000000000002</v>
      </c>
      <c r="N8" s="215"/>
      <c r="O8" s="228"/>
      <c r="P8" s="46">
        <f t="shared" ref="P8" si="10">SUM(P3:P7)</f>
        <v>66.288000000000011</v>
      </c>
      <c r="Q8" s="289" t="s">
        <v>42</v>
      </c>
      <c r="R8" s="289"/>
      <c r="S8" s="36">
        <v>1102</v>
      </c>
      <c r="T8" s="40">
        <v>0.16</v>
      </c>
      <c r="U8" s="38">
        <f t="shared" si="7"/>
        <v>1278.32</v>
      </c>
      <c r="V8" s="42">
        <v>250</v>
      </c>
      <c r="W8" s="39">
        <v>200</v>
      </c>
      <c r="X8" s="39">
        <v>250</v>
      </c>
      <c r="Y8" s="39">
        <v>250</v>
      </c>
    </row>
    <row r="9" spans="1:34" ht="12" customHeight="1">
      <c r="A9" s="47" t="s">
        <v>156</v>
      </c>
      <c r="B9" s="30" t="s">
        <v>43</v>
      </c>
      <c r="C9" s="48">
        <v>900</v>
      </c>
      <c r="D9" s="49"/>
      <c r="E9" s="49"/>
      <c r="F9" s="35"/>
      <c r="G9" s="35"/>
      <c r="H9" s="35"/>
      <c r="I9" s="35"/>
      <c r="J9" s="35"/>
      <c r="K9" s="35"/>
      <c r="L9" s="35"/>
      <c r="M9" s="35"/>
      <c r="N9" s="35"/>
      <c r="O9" s="35"/>
      <c r="P9" s="50"/>
      <c r="Q9" s="289" t="s">
        <v>44</v>
      </c>
      <c r="R9" s="289"/>
      <c r="S9" s="36">
        <v>800</v>
      </c>
      <c r="T9" s="40">
        <v>0.16</v>
      </c>
      <c r="U9" s="38">
        <f t="shared" si="7"/>
        <v>927.99999999999989</v>
      </c>
      <c r="V9" s="42">
        <v>250</v>
      </c>
      <c r="W9" s="39">
        <v>200</v>
      </c>
      <c r="X9" s="39">
        <v>250</v>
      </c>
      <c r="Y9" s="39">
        <v>250</v>
      </c>
    </row>
    <row r="10" spans="1:34" ht="12" customHeight="1">
      <c r="A10" s="51" t="s">
        <v>45</v>
      </c>
      <c r="D10" s="53"/>
      <c r="E10" s="54"/>
      <c r="J10" s="55"/>
      <c r="Q10" s="289" t="s">
        <v>46</v>
      </c>
      <c r="R10" s="289"/>
      <c r="S10" s="36">
        <v>660</v>
      </c>
      <c r="T10" s="40">
        <v>0.16</v>
      </c>
      <c r="U10" s="38">
        <f t="shared" si="7"/>
        <v>765.59999999999991</v>
      </c>
      <c r="V10" s="42">
        <v>250</v>
      </c>
      <c r="W10" s="39">
        <v>200</v>
      </c>
      <c r="X10" s="39">
        <v>250</v>
      </c>
      <c r="Y10" s="39">
        <v>250</v>
      </c>
    </row>
    <row r="11" spans="1:34" ht="12" customHeight="1">
      <c r="A11" s="51" t="s">
        <v>47</v>
      </c>
      <c r="D11" s="53"/>
      <c r="E11" s="54"/>
      <c r="J11" s="55"/>
      <c r="Q11" s="289" t="s">
        <v>48</v>
      </c>
      <c r="R11" s="289"/>
      <c r="S11" s="36">
        <v>2400</v>
      </c>
      <c r="T11" s="40">
        <v>0.16</v>
      </c>
      <c r="U11" s="38">
        <f t="shared" si="7"/>
        <v>2784</v>
      </c>
      <c r="V11" s="42">
        <v>250</v>
      </c>
      <c r="W11" s="39">
        <v>200</v>
      </c>
      <c r="X11" s="39">
        <v>250</v>
      </c>
      <c r="Y11" s="39">
        <v>250</v>
      </c>
    </row>
    <row r="12" spans="1:34" ht="12.75" customHeight="1">
      <c r="A12" s="51" t="s">
        <v>153</v>
      </c>
      <c r="Q12" s="289" t="s">
        <v>49</v>
      </c>
      <c r="R12" s="289"/>
      <c r="S12" s="36">
        <v>1200</v>
      </c>
      <c r="T12" s="40">
        <v>0.16</v>
      </c>
      <c r="U12" s="38">
        <f t="shared" si="7"/>
        <v>1392</v>
      </c>
      <c r="V12" s="42"/>
      <c r="W12" s="39"/>
      <c r="X12" s="39"/>
      <c r="Y12" s="39"/>
    </row>
    <row r="13" spans="1:34" ht="12.75">
      <c r="A13" s="50" t="s">
        <v>50</v>
      </c>
      <c r="B13" s="56">
        <f>K8</f>
        <v>330.22697399999998</v>
      </c>
      <c r="C13" s="57" t="s">
        <v>51</v>
      </c>
      <c r="D13" s="57"/>
      <c r="E13" s="58" t="s">
        <v>52</v>
      </c>
      <c r="F13" s="57"/>
      <c r="G13" s="57"/>
      <c r="H13" s="57"/>
      <c r="I13" s="57"/>
      <c r="J13" s="57"/>
      <c r="K13" s="57"/>
      <c r="L13" s="57"/>
      <c r="M13" s="57"/>
      <c r="N13" s="57"/>
      <c r="O13" s="57"/>
      <c r="P13" s="57"/>
      <c r="Q13" s="59" t="s">
        <v>138</v>
      </c>
      <c r="R13" s="59"/>
      <c r="S13" s="59"/>
      <c r="T13" s="60" t="s">
        <v>137</v>
      </c>
      <c r="U13" s="59"/>
    </row>
    <row r="14" spans="1:34" ht="14.65" customHeight="1">
      <c r="A14" s="50" t="s">
        <v>154</v>
      </c>
      <c r="B14" s="61">
        <f>P8</f>
        <v>66.288000000000011</v>
      </c>
      <c r="C14" s="20" t="s">
        <v>51</v>
      </c>
      <c r="E14" s="62" t="s">
        <v>53</v>
      </c>
      <c r="Q14" s="59" t="s">
        <v>54</v>
      </c>
      <c r="R14" s="59"/>
      <c r="S14" s="59"/>
      <c r="T14" s="59"/>
      <c r="U14" s="59"/>
      <c r="Y14" s="57"/>
      <c r="Z14" s="57"/>
      <c r="AA14" s="57"/>
      <c r="AB14" s="57"/>
      <c r="AC14" s="57"/>
      <c r="AD14" s="57"/>
      <c r="AE14" s="57"/>
      <c r="AF14" s="57"/>
      <c r="AG14" s="57"/>
      <c r="AH14" s="63"/>
    </row>
    <row r="15" spans="1:34" ht="33.75" customHeight="1" thickBot="1">
      <c r="A15" s="64" t="s">
        <v>55</v>
      </c>
      <c r="B15" s="65">
        <f>B13-B14</f>
        <v>263.93897399999997</v>
      </c>
      <c r="C15" s="20" t="s">
        <v>51</v>
      </c>
      <c r="E15" s="206" t="s">
        <v>157</v>
      </c>
      <c r="F15" s="206" t="s">
        <v>159</v>
      </c>
      <c r="G15" s="207" t="s">
        <v>165</v>
      </c>
      <c r="H15" s="207" t="s">
        <v>175</v>
      </c>
      <c r="I15" s="207" t="s">
        <v>171</v>
      </c>
      <c r="Q15" s="207" t="s">
        <v>169</v>
      </c>
      <c r="R15" s="231" t="s">
        <v>170</v>
      </c>
      <c r="S15" s="232"/>
      <c r="Z15" s="69"/>
      <c r="AB15" s="69"/>
      <c r="AH15" s="70"/>
    </row>
    <row r="16" spans="1:34" ht="30.75" thickBot="1">
      <c r="A16" s="204" t="s">
        <v>149</v>
      </c>
      <c r="B16" s="71">
        <f>B19</f>
        <v>0</v>
      </c>
      <c r="C16" s="20" t="s">
        <v>51</v>
      </c>
      <c r="E16" s="208" t="s">
        <v>158</v>
      </c>
      <c r="F16" s="206" t="s">
        <v>160</v>
      </c>
      <c r="G16" s="253">
        <f>Q19</f>
        <v>17.100999999999999</v>
      </c>
      <c r="H16" s="253">
        <f>R18</f>
        <v>5</v>
      </c>
      <c r="I16" s="253">
        <f>R19</f>
        <v>12.91</v>
      </c>
      <c r="Q16" s="205" t="s">
        <v>57</v>
      </c>
      <c r="R16" s="234" t="s">
        <v>61</v>
      </c>
      <c r="S16" s="232"/>
      <c r="Y16" s="72"/>
      <c r="Z16" s="69"/>
      <c r="AB16" s="69"/>
      <c r="AH16" s="70"/>
    </row>
    <row r="17" spans="1:36">
      <c r="A17" s="73" t="s">
        <v>151</v>
      </c>
      <c r="B17" s="74">
        <f>0.3*B15</f>
        <v>79.181692199999986</v>
      </c>
      <c r="C17" s="20" t="s">
        <v>51</v>
      </c>
      <c r="P17" s="229" t="s">
        <v>162</v>
      </c>
      <c r="Q17" s="238">
        <v>24.43</v>
      </c>
      <c r="R17" s="239">
        <v>7.91</v>
      </c>
      <c r="S17" s="235" t="s">
        <v>167</v>
      </c>
      <c r="Y17" s="69"/>
      <c r="Z17" s="69"/>
      <c r="AB17" s="69"/>
      <c r="AH17" s="70"/>
    </row>
    <row r="18" spans="1:36">
      <c r="A18" s="73" t="s">
        <v>150</v>
      </c>
      <c r="B18" s="74">
        <f>B15*0.7</f>
        <v>184.75728179999996</v>
      </c>
      <c r="C18" s="69" t="s">
        <v>51</v>
      </c>
      <c r="P18" s="230" t="s">
        <v>163</v>
      </c>
      <c r="Q18" s="255">
        <v>0.3</v>
      </c>
      <c r="R18" s="240">
        <v>5</v>
      </c>
      <c r="S18" s="236" t="s">
        <v>168</v>
      </c>
      <c r="Z18" s="69"/>
      <c r="AB18" s="69"/>
      <c r="AH18" s="70"/>
    </row>
    <row r="19" spans="1:36" ht="21.4" customHeight="1" thickBot="1">
      <c r="A19" s="75" t="s">
        <v>62</v>
      </c>
      <c r="B19" s="20">
        <v>0</v>
      </c>
      <c r="E19" s="296" t="s">
        <v>173</v>
      </c>
      <c r="F19" s="297"/>
      <c r="G19" s="298"/>
      <c r="H19" s="246">
        <f>H8</f>
        <v>0.18330000000000002</v>
      </c>
      <c r="I19" s="66" t="s">
        <v>63</v>
      </c>
      <c r="J19" s="66"/>
      <c r="K19" s="77"/>
      <c r="L19" s="78"/>
      <c r="M19" s="79"/>
      <c r="N19" s="77"/>
      <c r="O19" s="77"/>
      <c r="P19" s="254" t="s">
        <v>164</v>
      </c>
      <c r="Q19" s="241">
        <f>Q17*(1-Q18)</f>
        <v>17.100999999999999</v>
      </c>
      <c r="R19" s="242">
        <f>SUM(R17:R18)</f>
        <v>12.91</v>
      </c>
      <c r="S19" s="237" t="s">
        <v>161</v>
      </c>
      <c r="Z19" s="69"/>
      <c r="AB19" s="69"/>
      <c r="AH19" s="70"/>
    </row>
    <row r="20" spans="1:36">
      <c r="A20" s="73" t="s">
        <v>64</v>
      </c>
      <c r="B20" s="80">
        <v>30</v>
      </c>
      <c r="C20" s="81" t="s">
        <v>65</v>
      </c>
      <c r="E20" s="76" t="s">
        <v>152</v>
      </c>
      <c r="F20" s="76"/>
      <c r="G20" s="243"/>
      <c r="H20" s="247">
        <v>0.02</v>
      </c>
      <c r="I20" s="244" t="s">
        <v>79</v>
      </c>
      <c r="J20" s="66"/>
      <c r="K20" s="58" t="s">
        <v>66</v>
      </c>
      <c r="L20" s="57"/>
      <c r="M20" s="57"/>
      <c r="N20" s="57"/>
      <c r="O20" s="57"/>
      <c r="Z20" s="69"/>
      <c r="AB20" s="69"/>
      <c r="AH20" s="70"/>
    </row>
    <row r="21" spans="1:36">
      <c r="A21" s="73" t="s">
        <v>67</v>
      </c>
      <c r="B21" s="82">
        <v>20</v>
      </c>
      <c r="C21" s="81" t="s">
        <v>65</v>
      </c>
      <c r="E21" s="76" t="s">
        <v>166</v>
      </c>
      <c r="F21" s="76"/>
      <c r="G21" s="243"/>
      <c r="H21" s="248">
        <v>0.3</v>
      </c>
      <c r="I21" s="245"/>
      <c r="J21" s="66"/>
      <c r="K21" s="83">
        <v>20</v>
      </c>
      <c r="L21" s="20" t="s">
        <v>65</v>
      </c>
      <c r="O21" s="70"/>
      <c r="Q21" s="69"/>
      <c r="Y21" s="69"/>
      <c r="AH21" s="70"/>
    </row>
    <row r="22" spans="1:36">
      <c r="A22" s="50" t="s">
        <v>69</v>
      </c>
      <c r="B22" s="82">
        <v>20</v>
      </c>
      <c r="C22" s="81" t="s">
        <v>65</v>
      </c>
      <c r="E22" s="76" t="s">
        <v>70</v>
      </c>
      <c r="F22" s="76"/>
      <c r="G22" s="243"/>
      <c r="H22" s="249">
        <f>1-H21</f>
        <v>0.7</v>
      </c>
      <c r="I22" s="245"/>
      <c r="J22" s="66"/>
      <c r="K22" s="84">
        <v>0.02</v>
      </c>
      <c r="L22" s="20" t="s">
        <v>71</v>
      </c>
      <c r="O22" s="70"/>
      <c r="Q22" s="69"/>
      <c r="Y22" s="69"/>
      <c r="AA22" s="69"/>
      <c r="AB22" s="69"/>
      <c r="AH22" s="70"/>
    </row>
    <row r="23" spans="1:36" ht="10.5" thickBot="1">
      <c r="B23" s="20"/>
      <c r="E23" s="76" t="s">
        <v>72</v>
      </c>
      <c r="F23" s="76"/>
      <c r="G23" s="243"/>
      <c r="H23" s="250">
        <f>H22</f>
        <v>0.7</v>
      </c>
      <c r="I23" s="245"/>
      <c r="J23" s="66"/>
      <c r="K23" s="85">
        <f>((1+K22)^K21)*K22/(((1+K22)^K21)-1)</f>
        <v>6.1156718125290395E-2</v>
      </c>
      <c r="L23" s="77" t="s">
        <v>73</v>
      </c>
      <c r="M23" s="77"/>
      <c r="N23" s="77"/>
      <c r="O23" s="86"/>
      <c r="Q23" s="69"/>
      <c r="S23" s="69"/>
      <c r="U23" s="69"/>
      <c r="W23" s="69"/>
      <c r="Y23" s="69"/>
      <c r="AA23" s="69"/>
      <c r="AB23" s="69"/>
      <c r="AH23" s="70"/>
    </row>
    <row r="24" spans="1:36" ht="10.5" thickBot="1">
      <c r="A24" s="77"/>
      <c r="B24" s="77"/>
      <c r="C24" s="77"/>
      <c r="AC24" s="77"/>
      <c r="AD24" s="77"/>
      <c r="AE24" s="77"/>
      <c r="AF24" s="77"/>
      <c r="AG24" s="77"/>
      <c r="AH24" s="86"/>
      <c r="AI24" s="87" t="s">
        <v>74</v>
      </c>
    </row>
    <row r="25" spans="1:36" ht="16.149999999999999" customHeight="1">
      <c r="A25" s="88" t="s">
        <v>75</v>
      </c>
      <c r="B25" s="89"/>
      <c r="C25" s="90"/>
      <c r="D25" s="91">
        <v>2025</v>
      </c>
      <c r="E25" s="92">
        <f>D25+1</f>
        <v>2026</v>
      </c>
      <c r="F25" s="92">
        <f t="shared" ref="F25:U26" si="11">E25+1</f>
        <v>2027</v>
      </c>
      <c r="G25" s="92">
        <f t="shared" si="11"/>
        <v>2028</v>
      </c>
      <c r="H25" s="92">
        <f t="shared" si="11"/>
        <v>2029</v>
      </c>
      <c r="I25" s="92">
        <f t="shared" si="11"/>
        <v>2030</v>
      </c>
      <c r="J25" s="92">
        <f t="shared" si="11"/>
        <v>2031</v>
      </c>
      <c r="K25" s="92">
        <f t="shared" si="11"/>
        <v>2032</v>
      </c>
      <c r="L25" s="92">
        <f t="shared" si="11"/>
        <v>2033</v>
      </c>
      <c r="M25" s="92">
        <f t="shared" si="11"/>
        <v>2034</v>
      </c>
      <c r="N25" s="92">
        <f t="shared" si="11"/>
        <v>2035</v>
      </c>
      <c r="O25" s="92">
        <f t="shared" si="11"/>
        <v>2036</v>
      </c>
      <c r="P25" s="92">
        <f t="shared" si="11"/>
        <v>2037</v>
      </c>
      <c r="Q25" s="92">
        <f t="shared" si="11"/>
        <v>2038</v>
      </c>
      <c r="R25" s="92">
        <f>Q25+1</f>
        <v>2039</v>
      </c>
      <c r="S25" s="92">
        <f t="shared" si="11"/>
        <v>2040</v>
      </c>
      <c r="T25" s="92">
        <f t="shared" si="11"/>
        <v>2041</v>
      </c>
      <c r="U25" s="92">
        <f t="shared" si="11"/>
        <v>2042</v>
      </c>
      <c r="V25" s="92">
        <f t="shared" ref="V25:AH26" si="12">U25+1</f>
        <v>2043</v>
      </c>
      <c r="W25" s="92">
        <f t="shared" si="12"/>
        <v>2044</v>
      </c>
      <c r="X25" s="92">
        <f t="shared" si="12"/>
        <v>2045</v>
      </c>
      <c r="Y25" s="92">
        <f>X25+1</f>
        <v>2046</v>
      </c>
      <c r="Z25" s="92">
        <f t="shared" si="12"/>
        <v>2047</v>
      </c>
      <c r="AA25" s="92">
        <f t="shared" si="12"/>
        <v>2048</v>
      </c>
      <c r="AB25" s="92">
        <f t="shared" si="12"/>
        <v>2049</v>
      </c>
      <c r="AC25" s="92">
        <f t="shared" si="12"/>
        <v>2050</v>
      </c>
      <c r="AD25" s="92">
        <f t="shared" si="12"/>
        <v>2051</v>
      </c>
      <c r="AE25" s="92">
        <f t="shared" si="12"/>
        <v>2052</v>
      </c>
      <c r="AF25" s="92">
        <f t="shared" si="12"/>
        <v>2053</v>
      </c>
      <c r="AG25" s="92">
        <f t="shared" si="12"/>
        <v>2054</v>
      </c>
      <c r="AH25" s="93">
        <f t="shared" si="12"/>
        <v>2055</v>
      </c>
      <c r="AI25" s="94" t="s">
        <v>76</v>
      </c>
    </row>
    <row r="26" spans="1:36" ht="20.25">
      <c r="A26" s="95"/>
      <c r="B26" s="96"/>
      <c r="C26" s="233" t="s">
        <v>172</v>
      </c>
      <c r="D26" s="95"/>
      <c r="E26" s="95">
        <v>1</v>
      </c>
      <c r="F26" s="95">
        <v>2</v>
      </c>
      <c r="G26" s="95">
        <v>3</v>
      </c>
      <c r="H26" s="95">
        <v>4</v>
      </c>
      <c r="I26" s="95">
        <v>5</v>
      </c>
      <c r="J26" s="95">
        <v>6</v>
      </c>
      <c r="K26" s="95">
        <v>7</v>
      </c>
      <c r="L26" s="95">
        <v>8</v>
      </c>
      <c r="M26" s="95">
        <v>9</v>
      </c>
      <c r="N26" s="95">
        <v>10</v>
      </c>
      <c r="O26" s="95">
        <f t="shared" si="11"/>
        <v>11</v>
      </c>
      <c r="P26" s="95">
        <f t="shared" si="11"/>
        <v>12</v>
      </c>
      <c r="Q26" s="95">
        <f t="shared" si="11"/>
        <v>13</v>
      </c>
      <c r="R26" s="95">
        <f>Q26+1</f>
        <v>14</v>
      </c>
      <c r="S26" s="95">
        <f t="shared" si="11"/>
        <v>15</v>
      </c>
      <c r="T26" s="95">
        <f t="shared" si="11"/>
        <v>16</v>
      </c>
      <c r="U26" s="95">
        <f t="shared" si="11"/>
        <v>17</v>
      </c>
      <c r="V26" s="95">
        <f t="shared" si="12"/>
        <v>18</v>
      </c>
      <c r="W26" s="95">
        <f t="shared" si="12"/>
        <v>19</v>
      </c>
      <c r="X26" s="95">
        <f t="shared" si="12"/>
        <v>20</v>
      </c>
      <c r="Y26" s="95">
        <f>X26+1</f>
        <v>21</v>
      </c>
      <c r="Z26" s="95">
        <f t="shared" si="12"/>
        <v>22</v>
      </c>
      <c r="AA26" s="95">
        <f t="shared" si="12"/>
        <v>23</v>
      </c>
      <c r="AB26" s="95">
        <f t="shared" si="12"/>
        <v>24</v>
      </c>
      <c r="AC26" s="95">
        <f t="shared" si="12"/>
        <v>25</v>
      </c>
      <c r="AD26" s="95">
        <f t="shared" si="12"/>
        <v>26</v>
      </c>
      <c r="AE26" s="95">
        <f t="shared" si="12"/>
        <v>27</v>
      </c>
      <c r="AF26" s="95">
        <f t="shared" si="12"/>
        <v>28</v>
      </c>
      <c r="AG26" s="95">
        <f t="shared" si="12"/>
        <v>29</v>
      </c>
      <c r="AH26" s="97">
        <f t="shared" si="12"/>
        <v>30</v>
      </c>
      <c r="AI26" s="98"/>
      <c r="AJ26" s="20" t="s">
        <v>77</v>
      </c>
    </row>
    <row r="27" spans="1:36" s="104" customFormat="1">
      <c r="A27" s="99" t="s">
        <v>50</v>
      </c>
      <c r="B27" s="100" t="s">
        <v>51</v>
      </c>
      <c r="C27" s="101">
        <f>B15</f>
        <v>263.93897399999997</v>
      </c>
      <c r="D27" s="99"/>
      <c r="E27" s="99"/>
      <c r="F27" s="99"/>
      <c r="G27" s="99"/>
      <c r="H27" s="99"/>
      <c r="I27" s="99"/>
      <c r="J27" s="99"/>
      <c r="K27" s="99"/>
      <c r="L27" s="99"/>
      <c r="M27" s="99"/>
      <c r="N27" s="99"/>
      <c r="O27" s="99">
        <v>0</v>
      </c>
      <c r="P27" s="99"/>
      <c r="Q27" s="99"/>
      <c r="R27" s="99"/>
      <c r="S27" s="99"/>
      <c r="T27" s="99"/>
      <c r="U27" s="99"/>
      <c r="V27" s="99">
        <v>0</v>
      </c>
      <c r="W27" s="99"/>
      <c r="X27" s="99"/>
      <c r="Y27" s="99"/>
      <c r="Z27" s="99"/>
      <c r="AA27" s="99"/>
      <c r="AB27" s="99"/>
      <c r="AC27" s="99"/>
      <c r="AD27" s="99"/>
      <c r="AE27" s="99"/>
      <c r="AF27" s="99"/>
      <c r="AG27" s="99"/>
      <c r="AH27" s="102"/>
      <c r="AI27" s="103">
        <f>(C27)*-1</f>
        <v>-263.93897399999997</v>
      </c>
    </row>
    <row r="28" spans="1:36">
      <c r="A28" s="105" t="s">
        <v>78</v>
      </c>
      <c r="B28" s="106" t="s">
        <v>79</v>
      </c>
      <c r="C28" s="107">
        <f>AVERAGE(E28:AC28)</f>
        <v>0.17731032235327837</v>
      </c>
      <c r="D28" s="108"/>
      <c r="E28" s="109">
        <f>Q19/100</f>
        <v>0.17101</v>
      </c>
      <c r="F28" s="110">
        <f>E28*(1+$B29*0.3)</f>
        <v>0.17152302999999997</v>
      </c>
      <c r="G28" s="110">
        <f t="shared" ref="G28:AH28" si="13">F28*(1+$B29*0.3)</f>
        <v>0.17203759908999994</v>
      </c>
      <c r="H28" s="110">
        <f t="shared" si="13"/>
        <v>0.17255371188726992</v>
      </c>
      <c r="I28" s="110">
        <f t="shared" si="13"/>
        <v>0.17307137302293171</v>
      </c>
      <c r="J28" s="110">
        <f t="shared" si="13"/>
        <v>0.17359058714200049</v>
      </c>
      <c r="K28" s="110">
        <f t="shared" si="13"/>
        <v>0.17411135890342647</v>
      </c>
      <c r="L28" s="110">
        <f t="shared" si="13"/>
        <v>0.17463369298013673</v>
      </c>
      <c r="M28" s="110">
        <f t="shared" si="13"/>
        <v>0.17515759405907713</v>
      </c>
      <c r="N28" s="110">
        <f t="shared" si="13"/>
        <v>0.17568306684125434</v>
      </c>
      <c r="O28" s="110">
        <f t="shared" si="13"/>
        <v>0.17621011604177808</v>
      </c>
      <c r="P28" s="110">
        <f t="shared" si="13"/>
        <v>0.17673874638990339</v>
      </c>
      <c r="Q28" s="110">
        <f t="shared" si="13"/>
        <v>0.17726896262907307</v>
      </c>
      <c r="R28" s="110">
        <f t="shared" si="13"/>
        <v>0.17780076951696028</v>
      </c>
      <c r="S28" s="110">
        <f t="shared" si="13"/>
        <v>0.17833417182551115</v>
      </c>
      <c r="T28" s="110">
        <f t="shared" si="13"/>
        <v>0.17886917434098765</v>
      </c>
      <c r="U28" s="110">
        <f t="shared" si="13"/>
        <v>0.1794057818640106</v>
      </c>
      <c r="V28" s="110">
        <f t="shared" si="13"/>
        <v>0.17994399920960261</v>
      </c>
      <c r="W28" s="110">
        <f t="shared" si="13"/>
        <v>0.18048383120723138</v>
      </c>
      <c r="X28" s="110">
        <f t="shared" si="13"/>
        <v>0.18102528270085305</v>
      </c>
      <c r="Y28" s="110">
        <f t="shared" si="13"/>
        <v>0.18156835854895559</v>
      </c>
      <c r="Z28" s="110">
        <f t="shared" si="13"/>
        <v>0.18211306362460244</v>
      </c>
      <c r="AA28" s="110">
        <f t="shared" si="13"/>
        <v>0.18265940281547624</v>
      </c>
      <c r="AB28" s="110">
        <f t="shared" si="13"/>
        <v>0.18320738102392264</v>
      </c>
      <c r="AC28" s="110">
        <f t="shared" si="13"/>
        <v>0.18375700316699439</v>
      </c>
      <c r="AD28" s="110">
        <f t="shared" si="13"/>
        <v>0.18430827417649537</v>
      </c>
      <c r="AE28" s="110">
        <f t="shared" si="13"/>
        <v>0.18486119899902484</v>
      </c>
      <c r="AF28" s="110">
        <f t="shared" si="13"/>
        <v>0.1854157825960219</v>
      </c>
      <c r="AG28" s="110">
        <f t="shared" si="13"/>
        <v>0.18597202994380996</v>
      </c>
      <c r="AH28" s="111">
        <f t="shared" si="13"/>
        <v>0.18652994603364137</v>
      </c>
      <c r="AI28" s="112"/>
    </row>
    <row r="29" spans="1:36" s="116" customFormat="1">
      <c r="A29" s="105" t="s">
        <v>80</v>
      </c>
      <c r="B29" s="113">
        <v>0.01</v>
      </c>
      <c r="C29" s="114"/>
      <c r="D29" s="108"/>
      <c r="E29" s="115"/>
      <c r="F29" s="110"/>
      <c r="G29" s="110"/>
      <c r="H29" s="110"/>
      <c r="I29" s="110"/>
      <c r="J29" s="110"/>
      <c r="K29" s="110"/>
      <c r="L29" s="110"/>
      <c r="M29" s="110"/>
      <c r="N29" s="110"/>
      <c r="O29" s="110"/>
      <c r="P29" s="110"/>
      <c r="Q29" s="110"/>
      <c r="R29" s="110"/>
      <c r="S29" s="110"/>
      <c r="T29" s="110"/>
      <c r="U29" s="110"/>
      <c r="V29" s="110"/>
      <c r="W29" s="110"/>
      <c r="X29" s="110"/>
      <c r="Y29" s="110"/>
      <c r="Z29" s="110"/>
      <c r="AA29" s="110"/>
      <c r="AB29" s="110"/>
      <c r="AC29" s="110"/>
      <c r="AD29" s="110"/>
      <c r="AE29" s="110"/>
      <c r="AF29" s="110"/>
      <c r="AG29" s="110"/>
      <c r="AH29" s="111"/>
      <c r="AI29" s="112"/>
    </row>
    <row r="30" spans="1:36" s="116" customFormat="1">
      <c r="A30" s="99" t="s">
        <v>182</v>
      </c>
      <c r="B30" s="100" t="s">
        <v>79</v>
      </c>
      <c r="C30" s="107">
        <f>AVERAGE(E30:AC30)</f>
        <v>8.5099999999999981E-2</v>
      </c>
      <c r="D30" s="99"/>
      <c r="E30" s="251">
        <f>R17/100</f>
        <v>7.9100000000000004E-2</v>
      </c>
      <c r="F30" s="252">
        <f>E30*1+($B$31*E32)</f>
        <v>7.9600000000000004E-2</v>
      </c>
      <c r="G30" s="252">
        <f t="shared" ref="G30:AH30" si="14">F30*1+($B$31*F32)</f>
        <v>8.0100000000000005E-2</v>
      </c>
      <c r="H30" s="252">
        <f t="shared" si="14"/>
        <v>8.0600000000000005E-2</v>
      </c>
      <c r="I30" s="252">
        <f t="shared" si="14"/>
        <v>8.1100000000000005E-2</v>
      </c>
      <c r="J30" s="252">
        <f t="shared" si="14"/>
        <v>8.1600000000000006E-2</v>
      </c>
      <c r="K30" s="252">
        <f t="shared" si="14"/>
        <v>8.2100000000000006E-2</v>
      </c>
      <c r="L30" s="252">
        <f t="shared" si="14"/>
        <v>8.2600000000000007E-2</v>
      </c>
      <c r="M30" s="252">
        <f t="shared" si="14"/>
        <v>8.3100000000000007E-2</v>
      </c>
      <c r="N30" s="252">
        <f t="shared" si="14"/>
        <v>8.3600000000000008E-2</v>
      </c>
      <c r="O30" s="252">
        <f t="shared" si="14"/>
        <v>8.4100000000000008E-2</v>
      </c>
      <c r="P30" s="252">
        <f t="shared" si="14"/>
        <v>8.4600000000000009E-2</v>
      </c>
      <c r="Q30" s="252">
        <f t="shared" si="14"/>
        <v>8.5100000000000009E-2</v>
      </c>
      <c r="R30" s="252">
        <f t="shared" si="14"/>
        <v>8.5600000000000009E-2</v>
      </c>
      <c r="S30" s="252">
        <f t="shared" si="14"/>
        <v>8.610000000000001E-2</v>
      </c>
      <c r="T30" s="252">
        <f t="shared" si="14"/>
        <v>8.660000000000001E-2</v>
      </c>
      <c r="U30" s="252">
        <f t="shared" si="14"/>
        <v>8.7100000000000011E-2</v>
      </c>
      <c r="V30" s="252">
        <f t="shared" si="14"/>
        <v>8.7600000000000011E-2</v>
      </c>
      <c r="W30" s="252">
        <f t="shared" si="14"/>
        <v>8.8100000000000012E-2</v>
      </c>
      <c r="X30" s="252">
        <f t="shared" si="14"/>
        <v>8.8600000000000012E-2</v>
      </c>
      <c r="Y30" s="252">
        <f t="shared" si="14"/>
        <v>8.9100000000000013E-2</v>
      </c>
      <c r="Z30" s="252">
        <f t="shared" si="14"/>
        <v>8.9600000000000013E-2</v>
      </c>
      <c r="AA30" s="252">
        <f t="shared" si="14"/>
        <v>9.0100000000000013E-2</v>
      </c>
      <c r="AB30" s="252">
        <f t="shared" si="14"/>
        <v>9.0600000000000014E-2</v>
      </c>
      <c r="AC30" s="252">
        <f t="shared" si="14"/>
        <v>9.1100000000000014E-2</v>
      </c>
      <c r="AD30" s="252">
        <f t="shared" si="14"/>
        <v>9.1600000000000015E-2</v>
      </c>
      <c r="AE30" s="252">
        <f t="shared" si="14"/>
        <v>9.2100000000000015E-2</v>
      </c>
      <c r="AF30" s="252">
        <f t="shared" si="14"/>
        <v>9.2600000000000016E-2</v>
      </c>
      <c r="AG30" s="252">
        <f t="shared" si="14"/>
        <v>9.3100000000000016E-2</v>
      </c>
      <c r="AH30" s="252">
        <f t="shared" si="14"/>
        <v>9.3600000000000017E-2</v>
      </c>
      <c r="AI30" s="103"/>
    </row>
    <row r="31" spans="1:36" s="116" customFormat="1">
      <c r="A31" s="99"/>
      <c r="B31" s="113">
        <v>0.01</v>
      </c>
      <c r="D31" s="99"/>
      <c r="E31" s="107"/>
      <c r="F31" s="117"/>
      <c r="G31" s="117"/>
      <c r="H31" s="117"/>
      <c r="I31" s="117"/>
      <c r="J31" s="118"/>
      <c r="K31" s="118"/>
      <c r="L31" s="118"/>
      <c r="M31" s="118"/>
      <c r="N31" s="118"/>
      <c r="O31" s="118"/>
      <c r="P31" s="118"/>
      <c r="Q31" s="118"/>
      <c r="R31" s="118"/>
      <c r="S31" s="118"/>
      <c r="T31" s="118"/>
      <c r="U31" s="118"/>
      <c r="V31" s="118"/>
      <c r="W31" s="118"/>
      <c r="X31" s="118"/>
      <c r="Y31" s="118"/>
      <c r="Z31" s="118"/>
      <c r="AA31" s="118"/>
      <c r="AB31" s="118"/>
      <c r="AC31" s="118"/>
      <c r="AD31" s="118"/>
      <c r="AE31" s="118"/>
      <c r="AF31" s="118"/>
      <c r="AG31" s="118"/>
      <c r="AH31" s="119"/>
      <c r="AI31" s="103"/>
    </row>
    <row r="32" spans="1:36">
      <c r="A32" s="99" t="s">
        <v>174</v>
      </c>
      <c r="B32" s="100" t="s">
        <v>79</v>
      </c>
      <c r="C32" s="107">
        <f>AVERAGE(E32:AC32)</f>
        <v>5.0000000000000017E-2</v>
      </c>
      <c r="D32" s="120"/>
      <c r="E32" s="121">
        <f>H16/100</f>
        <v>0.05</v>
      </c>
      <c r="F32" s="118">
        <f>E32</f>
        <v>0.05</v>
      </c>
      <c r="G32" s="118">
        <f>F32</f>
        <v>0.05</v>
      </c>
      <c r="H32" s="118">
        <f t="shared" ref="H32:W33" si="15">G32</f>
        <v>0.05</v>
      </c>
      <c r="I32" s="118">
        <f t="shared" si="15"/>
        <v>0.05</v>
      </c>
      <c r="J32" s="118">
        <f t="shared" si="15"/>
        <v>0.05</v>
      </c>
      <c r="K32" s="118">
        <f t="shared" si="15"/>
        <v>0.05</v>
      </c>
      <c r="L32" s="118">
        <f t="shared" si="15"/>
        <v>0.05</v>
      </c>
      <c r="M32" s="118">
        <f t="shared" si="15"/>
        <v>0.05</v>
      </c>
      <c r="N32" s="118">
        <f t="shared" si="15"/>
        <v>0.05</v>
      </c>
      <c r="O32" s="118">
        <f t="shared" si="15"/>
        <v>0.05</v>
      </c>
      <c r="P32" s="118">
        <f t="shared" si="15"/>
        <v>0.05</v>
      </c>
      <c r="Q32" s="118">
        <f t="shared" si="15"/>
        <v>0.05</v>
      </c>
      <c r="R32" s="118">
        <f>Q32</f>
        <v>0.05</v>
      </c>
      <c r="S32" s="118">
        <f t="shared" si="15"/>
        <v>0.05</v>
      </c>
      <c r="T32" s="118">
        <f t="shared" si="15"/>
        <v>0.05</v>
      </c>
      <c r="U32" s="118">
        <f t="shared" si="15"/>
        <v>0.05</v>
      </c>
      <c r="V32" s="118">
        <f t="shared" si="15"/>
        <v>0.05</v>
      </c>
      <c r="W32" s="118">
        <f t="shared" si="15"/>
        <v>0.05</v>
      </c>
      <c r="X32" s="118">
        <f t="shared" ref="X32:AB33" si="16">W32</f>
        <v>0.05</v>
      </c>
      <c r="Y32" s="118">
        <f>X32</f>
        <v>0.05</v>
      </c>
      <c r="Z32" s="118">
        <f t="shared" si="16"/>
        <v>0.05</v>
      </c>
      <c r="AA32" s="118">
        <f t="shared" si="16"/>
        <v>0.05</v>
      </c>
      <c r="AB32" s="118">
        <f t="shared" si="16"/>
        <v>0.05</v>
      </c>
      <c r="AC32" s="118">
        <f t="shared" ref="AC32:AH32" si="17">AB32</f>
        <v>0.05</v>
      </c>
      <c r="AD32" s="118">
        <f t="shared" si="17"/>
        <v>0.05</v>
      </c>
      <c r="AE32" s="118">
        <f t="shared" si="17"/>
        <v>0.05</v>
      </c>
      <c r="AF32" s="118">
        <f t="shared" si="17"/>
        <v>0.05</v>
      </c>
      <c r="AG32" s="118">
        <f t="shared" si="17"/>
        <v>0.05</v>
      </c>
      <c r="AH32" s="119">
        <f t="shared" si="17"/>
        <v>0.05</v>
      </c>
      <c r="AI32" s="103"/>
    </row>
    <row r="33" spans="1:36">
      <c r="A33" s="99" t="s">
        <v>81</v>
      </c>
      <c r="B33" s="100"/>
      <c r="C33" s="122" t="e">
        <f>RATE(B20,-(C41-C47),B15,0,)</f>
        <v>#NUM!</v>
      </c>
      <c r="D33" s="123"/>
      <c r="E33" s="124">
        <v>0.02</v>
      </c>
      <c r="F33" s="123">
        <f>E33</f>
        <v>0.02</v>
      </c>
      <c r="G33" s="123">
        <f>F33</f>
        <v>0.02</v>
      </c>
      <c r="H33" s="123">
        <f>G33</f>
        <v>0.02</v>
      </c>
      <c r="I33" s="123">
        <f t="shared" si="15"/>
        <v>0.02</v>
      </c>
      <c r="J33" s="123">
        <f t="shared" si="15"/>
        <v>0.02</v>
      </c>
      <c r="K33" s="123">
        <f t="shared" si="15"/>
        <v>0.02</v>
      </c>
      <c r="L33" s="123">
        <f t="shared" si="15"/>
        <v>0.02</v>
      </c>
      <c r="M33" s="123">
        <f t="shared" si="15"/>
        <v>0.02</v>
      </c>
      <c r="N33" s="123">
        <f t="shared" si="15"/>
        <v>0.02</v>
      </c>
      <c r="O33" s="123">
        <f t="shared" si="15"/>
        <v>0.02</v>
      </c>
      <c r="P33" s="123">
        <f t="shared" si="15"/>
        <v>0.02</v>
      </c>
      <c r="Q33" s="123">
        <f t="shared" si="15"/>
        <v>0.02</v>
      </c>
      <c r="R33" s="123">
        <f>Q33</f>
        <v>0.02</v>
      </c>
      <c r="S33" s="123">
        <f t="shared" si="15"/>
        <v>0.02</v>
      </c>
      <c r="T33" s="123">
        <f t="shared" si="15"/>
        <v>0.02</v>
      </c>
      <c r="U33" s="123">
        <f>T33</f>
        <v>0.02</v>
      </c>
      <c r="V33" s="123">
        <f t="shared" si="15"/>
        <v>0.02</v>
      </c>
      <c r="W33" s="123">
        <f t="shared" si="15"/>
        <v>0.02</v>
      </c>
      <c r="X33" s="123">
        <f t="shared" si="16"/>
        <v>0.02</v>
      </c>
      <c r="Y33" s="99">
        <f>X34-4</f>
        <v>820</v>
      </c>
      <c r="Z33" s="99">
        <f t="shared" ref="Z33:AH33" si="18">Y33-4</f>
        <v>816</v>
      </c>
      <c r="AA33" s="99">
        <f t="shared" si="18"/>
        <v>812</v>
      </c>
      <c r="AB33" s="99">
        <f t="shared" si="18"/>
        <v>808</v>
      </c>
      <c r="AC33" s="99">
        <f t="shared" si="18"/>
        <v>804</v>
      </c>
      <c r="AD33" s="99">
        <f t="shared" si="18"/>
        <v>800</v>
      </c>
      <c r="AE33" s="99">
        <f t="shared" si="18"/>
        <v>796</v>
      </c>
      <c r="AF33" s="99">
        <f t="shared" si="18"/>
        <v>792</v>
      </c>
      <c r="AG33" s="99">
        <f t="shared" si="18"/>
        <v>788</v>
      </c>
      <c r="AH33" s="99">
        <f t="shared" si="18"/>
        <v>784</v>
      </c>
      <c r="AI33" s="103"/>
    </row>
    <row r="34" spans="1:36" ht="11.45" customHeight="1">
      <c r="A34" s="99" t="s">
        <v>82</v>
      </c>
      <c r="B34" s="100" t="s">
        <v>83</v>
      </c>
      <c r="C34" s="125">
        <f>AVERAGE(E34:AH34)</f>
        <v>842</v>
      </c>
      <c r="D34" s="99"/>
      <c r="E34" s="126">
        <f>C9</f>
        <v>900</v>
      </c>
      <c r="F34" s="99">
        <f>E34-4</f>
        <v>896</v>
      </c>
      <c r="G34" s="99">
        <f t="shared" ref="G34:AH34" si="19">F34-4</f>
        <v>892</v>
      </c>
      <c r="H34" s="99">
        <f t="shared" si="19"/>
        <v>888</v>
      </c>
      <c r="I34" s="99">
        <f t="shared" si="19"/>
        <v>884</v>
      </c>
      <c r="J34" s="99">
        <f t="shared" si="19"/>
        <v>880</v>
      </c>
      <c r="K34" s="99">
        <f t="shared" si="19"/>
        <v>876</v>
      </c>
      <c r="L34" s="99">
        <f t="shared" si="19"/>
        <v>872</v>
      </c>
      <c r="M34" s="99">
        <f t="shared" si="19"/>
        <v>868</v>
      </c>
      <c r="N34" s="99">
        <f t="shared" si="19"/>
        <v>864</v>
      </c>
      <c r="O34" s="99">
        <f t="shared" si="19"/>
        <v>860</v>
      </c>
      <c r="P34" s="99">
        <f t="shared" si="19"/>
        <v>856</v>
      </c>
      <c r="Q34" s="99">
        <f t="shared" si="19"/>
        <v>852</v>
      </c>
      <c r="R34" s="99">
        <f>Q34-4</f>
        <v>848</v>
      </c>
      <c r="S34" s="99">
        <f t="shared" si="19"/>
        <v>844</v>
      </c>
      <c r="T34" s="99">
        <f t="shared" si="19"/>
        <v>840</v>
      </c>
      <c r="U34" s="99">
        <f t="shared" si="19"/>
        <v>836</v>
      </c>
      <c r="V34" s="99">
        <f t="shared" si="19"/>
        <v>832</v>
      </c>
      <c r="W34" s="99">
        <f t="shared" si="19"/>
        <v>828</v>
      </c>
      <c r="X34" s="99">
        <f t="shared" si="19"/>
        <v>824</v>
      </c>
      <c r="Y34" s="99">
        <f>X34-4</f>
        <v>820</v>
      </c>
      <c r="Z34" s="99">
        <f t="shared" si="19"/>
        <v>816</v>
      </c>
      <c r="AA34" s="99">
        <f t="shared" si="19"/>
        <v>812</v>
      </c>
      <c r="AB34" s="99">
        <f t="shared" si="19"/>
        <v>808</v>
      </c>
      <c r="AC34" s="99">
        <f t="shared" si="19"/>
        <v>804</v>
      </c>
      <c r="AD34" s="99">
        <f t="shared" si="19"/>
        <v>800</v>
      </c>
      <c r="AE34" s="99">
        <f t="shared" si="19"/>
        <v>796</v>
      </c>
      <c r="AF34" s="99">
        <f t="shared" si="19"/>
        <v>792</v>
      </c>
      <c r="AG34" s="99">
        <f t="shared" si="19"/>
        <v>788</v>
      </c>
      <c r="AH34" s="102">
        <f t="shared" si="19"/>
        <v>784</v>
      </c>
      <c r="AI34" s="103"/>
    </row>
    <row r="35" spans="1:36">
      <c r="A35" s="127" t="s">
        <v>84</v>
      </c>
      <c r="B35" s="128" t="s">
        <v>83</v>
      </c>
      <c r="C35" s="125">
        <f>AVERAGE(E35:AC35)</f>
        <v>156.17160000000001</v>
      </c>
      <c r="D35" s="127"/>
      <c r="E35" s="129">
        <f t="shared" ref="E35:AH35" si="20">E34*$H19</f>
        <v>164.97000000000003</v>
      </c>
      <c r="F35" s="129">
        <f t="shared" si="20"/>
        <v>164.23680000000002</v>
      </c>
      <c r="G35" s="129">
        <f t="shared" si="20"/>
        <v>163.50360000000001</v>
      </c>
      <c r="H35" s="129">
        <f t="shared" si="20"/>
        <v>162.77040000000002</v>
      </c>
      <c r="I35" s="129">
        <f t="shared" si="20"/>
        <v>162.03720000000001</v>
      </c>
      <c r="J35" s="129">
        <f t="shared" si="20"/>
        <v>161.30400000000003</v>
      </c>
      <c r="K35" s="129">
        <f t="shared" si="20"/>
        <v>160.57080000000002</v>
      </c>
      <c r="L35" s="129">
        <f t="shared" si="20"/>
        <v>159.83760000000001</v>
      </c>
      <c r="M35" s="129">
        <f t="shared" si="20"/>
        <v>159.10440000000003</v>
      </c>
      <c r="N35" s="129">
        <f t="shared" si="20"/>
        <v>158.37120000000002</v>
      </c>
      <c r="O35" s="129">
        <f t="shared" si="20"/>
        <v>157.63800000000001</v>
      </c>
      <c r="P35" s="129">
        <f t="shared" si="20"/>
        <v>156.90480000000002</v>
      </c>
      <c r="Q35" s="129">
        <f t="shared" si="20"/>
        <v>156.17160000000001</v>
      </c>
      <c r="R35" s="129">
        <f t="shared" si="20"/>
        <v>155.4384</v>
      </c>
      <c r="S35" s="129">
        <f t="shared" si="20"/>
        <v>154.70520000000002</v>
      </c>
      <c r="T35" s="129">
        <f t="shared" si="20"/>
        <v>153.97200000000001</v>
      </c>
      <c r="U35" s="129">
        <f t="shared" si="20"/>
        <v>153.23880000000003</v>
      </c>
      <c r="V35" s="129">
        <f t="shared" si="20"/>
        <v>152.50560000000002</v>
      </c>
      <c r="W35" s="129">
        <f t="shared" si="20"/>
        <v>151.7724</v>
      </c>
      <c r="X35" s="129">
        <f t="shared" si="20"/>
        <v>151.03920000000002</v>
      </c>
      <c r="Y35" s="129">
        <f t="shared" si="20"/>
        <v>150.30600000000001</v>
      </c>
      <c r="Z35" s="129">
        <f t="shared" si="20"/>
        <v>149.57280000000003</v>
      </c>
      <c r="AA35" s="129">
        <f t="shared" si="20"/>
        <v>148.83960000000002</v>
      </c>
      <c r="AB35" s="129">
        <f t="shared" si="20"/>
        <v>148.10640000000001</v>
      </c>
      <c r="AC35" s="129">
        <f t="shared" si="20"/>
        <v>147.37320000000003</v>
      </c>
      <c r="AD35" s="129">
        <f t="shared" si="20"/>
        <v>146.64000000000001</v>
      </c>
      <c r="AE35" s="129">
        <f t="shared" si="20"/>
        <v>145.9068</v>
      </c>
      <c r="AF35" s="129">
        <f t="shared" si="20"/>
        <v>145.17360000000002</v>
      </c>
      <c r="AG35" s="129">
        <f t="shared" si="20"/>
        <v>144.44040000000001</v>
      </c>
      <c r="AH35" s="129">
        <f t="shared" si="20"/>
        <v>143.7072</v>
      </c>
      <c r="AI35" s="103"/>
      <c r="AJ35" s="69">
        <f>SUM(E35:AH35)*H19</f>
        <v>848.70796140000016</v>
      </c>
    </row>
    <row r="36" spans="1:36">
      <c r="A36" s="256" t="s">
        <v>85</v>
      </c>
      <c r="B36" s="257"/>
      <c r="C36" s="258"/>
      <c r="D36" s="259"/>
      <c r="E36" s="259"/>
      <c r="F36" s="259"/>
      <c r="G36" s="259"/>
      <c r="H36" s="259"/>
      <c r="I36" s="259"/>
      <c r="J36" s="259"/>
      <c r="K36" s="259"/>
      <c r="L36" s="259"/>
      <c r="M36" s="259"/>
      <c r="N36" s="259"/>
      <c r="O36" s="259"/>
      <c r="P36" s="259"/>
      <c r="Q36" s="259"/>
      <c r="R36" s="259"/>
      <c r="S36" s="259"/>
      <c r="T36" s="259"/>
      <c r="U36" s="259"/>
      <c r="V36" s="259"/>
      <c r="W36" s="259"/>
      <c r="X36" s="259"/>
      <c r="Y36" s="259"/>
      <c r="Z36" s="259"/>
      <c r="AA36" s="259"/>
      <c r="AB36" s="259"/>
      <c r="AC36" s="259"/>
      <c r="AD36" s="259"/>
      <c r="AE36" s="259"/>
      <c r="AF36" s="259"/>
      <c r="AG36" s="259"/>
      <c r="AH36" s="260">
        <v>1</v>
      </c>
      <c r="AI36" s="103"/>
    </row>
    <row r="37" spans="1:36">
      <c r="A37" s="267" t="s">
        <v>68</v>
      </c>
      <c r="B37" s="268" t="s">
        <v>51</v>
      </c>
      <c r="C37" s="269">
        <f>AVERAGE(E37:AC37)</f>
        <v>8.3011765144126386</v>
      </c>
      <c r="D37" s="268">
        <f>H21</f>
        <v>0.3</v>
      </c>
      <c r="E37" s="270">
        <f>E35*H21*E28</f>
        <v>8.4634559100000004</v>
      </c>
      <c r="F37" s="270">
        <f t="shared" ref="F37:AH37" si="21">F34*$H$19*$H$21*F28</f>
        <v>8.4511180720511998</v>
      </c>
      <c r="G37" s="270">
        <f t="shared" si="21"/>
        <v>8.4386300359715136</v>
      </c>
      <c r="H37" s="270">
        <f t="shared" si="21"/>
        <v>8.4259910116127053</v>
      </c>
      <c r="I37" s="270">
        <f t="shared" si="21"/>
        <v>8.413200205437418</v>
      </c>
      <c r="J37" s="270">
        <f t="shared" si="21"/>
        <v>8.4002568205059749</v>
      </c>
      <c r="K37" s="270">
        <f t="shared" si="21"/>
        <v>8.3871600564630935</v>
      </c>
      <c r="L37" s="270">
        <f t="shared" si="21"/>
        <v>8.3739091095245719</v>
      </c>
      <c r="M37" s="270">
        <f t="shared" si="21"/>
        <v>8.3605031724639094</v>
      </c>
      <c r="N37" s="270">
        <f t="shared" si="21"/>
        <v>8.3469414345988984</v>
      </c>
      <c r="O37" s="270">
        <f t="shared" si="21"/>
        <v>8.3332230817781436</v>
      </c>
      <c r="P37" s="270">
        <f t="shared" si="21"/>
        <v>8.319347296367555</v>
      </c>
      <c r="Q37" s="270">
        <f t="shared" si="21"/>
        <v>8.3053132572367652</v>
      </c>
      <c r="R37" s="270">
        <f t="shared" si="21"/>
        <v>8.291120139745523</v>
      </c>
      <c r="S37" s="270">
        <f t="shared" si="21"/>
        <v>8.2767671157300207</v>
      </c>
      <c r="T37" s="270">
        <f t="shared" si="21"/>
        <v>8.2622533534891645</v>
      </c>
      <c r="U37" s="270">
        <f t="shared" si="21"/>
        <v>8.2475780177708256</v>
      </c>
      <c r="V37" s="270">
        <f t="shared" si="21"/>
        <v>8.2327402697579917</v>
      </c>
      <c r="W37" s="270">
        <f t="shared" si="21"/>
        <v>8.2177392670549221</v>
      </c>
      <c r="X37" s="270">
        <f t="shared" si="21"/>
        <v>8.2025741636732068</v>
      </c>
      <c r="Y37" s="270">
        <f t="shared" si="21"/>
        <v>8.1872441100177955</v>
      </c>
      <c r="Z37" s="270">
        <f t="shared" si="21"/>
        <v>8.1717482528729821</v>
      </c>
      <c r="AA37" s="270">
        <f t="shared" si="21"/>
        <v>8.1560857353883076</v>
      </c>
      <c r="AB37" s="270">
        <f t="shared" si="21"/>
        <v>8.1402556970644486</v>
      </c>
      <c r="AC37" s="270">
        <f t="shared" si="21"/>
        <v>8.1242572737390297</v>
      </c>
      <c r="AD37" s="270">
        <f t="shared" si="21"/>
        <v>8.1080895975723859</v>
      </c>
      <c r="AE37" s="270">
        <f t="shared" si="21"/>
        <v>8.0917517970332753</v>
      </c>
      <c r="AF37" s="270">
        <f t="shared" si="21"/>
        <v>8.0752429968845547</v>
      </c>
      <c r="AG37" s="270">
        <f t="shared" si="21"/>
        <v>8.0585623181687662</v>
      </c>
      <c r="AH37" s="271">
        <f t="shared" si="21"/>
        <v>8.0417088781937114</v>
      </c>
      <c r="AI37" s="133">
        <f>SUM(E38:AH38)</f>
        <v>279.29314685999998</v>
      </c>
    </row>
    <row r="38" spans="1:36">
      <c r="A38" s="267" t="s">
        <v>180</v>
      </c>
      <c r="B38" s="268" t="s">
        <v>51</v>
      </c>
      <c r="C38" s="269">
        <f>AVERAGE(E38:AC38)</f>
        <v>9.2897979720000006</v>
      </c>
      <c r="D38" s="268">
        <f>H22</f>
        <v>0.7</v>
      </c>
      <c r="E38" s="270">
        <f>E35*$H$22*E30</f>
        <v>9.1343889000000011</v>
      </c>
      <c r="F38" s="270">
        <f t="shared" ref="F38:AH38" si="22">F34*$H$19*$H$22*F30</f>
        <v>9.151274496000001</v>
      </c>
      <c r="G38" s="270">
        <f t="shared" si="22"/>
        <v>9.1676468520000007</v>
      </c>
      <c r="H38" s="270">
        <f t="shared" si="22"/>
        <v>9.1835059680000022</v>
      </c>
      <c r="I38" s="270">
        <f t="shared" si="22"/>
        <v>9.198851844</v>
      </c>
      <c r="J38" s="270">
        <f t="shared" si="22"/>
        <v>9.2136844800000013</v>
      </c>
      <c r="K38" s="270">
        <f t="shared" si="22"/>
        <v>9.2280038760000007</v>
      </c>
      <c r="L38" s="270">
        <f t="shared" si="22"/>
        <v>9.2418100320000001</v>
      </c>
      <c r="M38" s="270">
        <f t="shared" si="22"/>
        <v>9.2551029480000029</v>
      </c>
      <c r="N38" s="270">
        <f t="shared" si="22"/>
        <v>9.2678826240000021</v>
      </c>
      <c r="O38" s="270">
        <f t="shared" si="22"/>
        <v>9.2801490600000012</v>
      </c>
      <c r="P38" s="270">
        <f t="shared" si="22"/>
        <v>9.291902256000002</v>
      </c>
      <c r="Q38" s="270">
        <f t="shared" si="22"/>
        <v>9.3031422120000009</v>
      </c>
      <c r="R38" s="270">
        <f t="shared" si="22"/>
        <v>9.3138689279999998</v>
      </c>
      <c r="S38" s="270">
        <f t="shared" si="22"/>
        <v>9.3240824040000021</v>
      </c>
      <c r="T38" s="270">
        <f t="shared" si="22"/>
        <v>9.3337826400000008</v>
      </c>
      <c r="U38" s="270">
        <f t="shared" si="22"/>
        <v>9.342969636000003</v>
      </c>
      <c r="V38" s="270">
        <f t="shared" si="22"/>
        <v>9.3516433920000015</v>
      </c>
      <c r="W38" s="270">
        <f t="shared" si="22"/>
        <v>9.3598039080000017</v>
      </c>
      <c r="X38" s="270">
        <f t="shared" si="22"/>
        <v>9.3674511840000019</v>
      </c>
      <c r="Y38" s="270">
        <f t="shared" si="22"/>
        <v>9.3745852200000019</v>
      </c>
      <c r="Z38" s="270">
        <f t="shared" si="22"/>
        <v>9.3812060160000019</v>
      </c>
      <c r="AA38" s="270">
        <f t="shared" si="22"/>
        <v>9.3873135720000018</v>
      </c>
      <c r="AB38" s="270">
        <f t="shared" si="22"/>
        <v>9.3929078880000016</v>
      </c>
      <c r="AC38" s="270">
        <f t="shared" si="22"/>
        <v>9.3979889640000014</v>
      </c>
      <c r="AD38" s="270">
        <f t="shared" si="22"/>
        <v>9.4025568000000028</v>
      </c>
      <c r="AE38" s="270">
        <f t="shared" si="22"/>
        <v>9.4066113960000024</v>
      </c>
      <c r="AF38" s="270">
        <f t="shared" si="22"/>
        <v>9.4101527520000019</v>
      </c>
      <c r="AG38" s="270">
        <f t="shared" si="22"/>
        <v>9.4131808680000031</v>
      </c>
      <c r="AH38" s="271">
        <f t="shared" si="22"/>
        <v>9.4156957440000006</v>
      </c>
      <c r="AI38" s="133">
        <f>SUM(E39:AH39)</f>
        <v>162.05553000000003</v>
      </c>
    </row>
    <row r="39" spans="1:36">
      <c r="A39" s="267" t="s">
        <v>181</v>
      </c>
      <c r="B39" s="272" t="s">
        <v>51</v>
      </c>
      <c r="C39" s="269">
        <f>AVERAGE(E39:AC39)</f>
        <v>5.466006000000001</v>
      </c>
      <c r="D39" s="268">
        <f>H23</f>
        <v>0.7</v>
      </c>
      <c r="E39" s="270">
        <f t="shared" ref="E39:AH39" si="23">(E32*$H$23*E34*$H$19)</f>
        <v>5.7739500000000001</v>
      </c>
      <c r="F39" s="270">
        <f t="shared" si="23"/>
        <v>5.7482879999999996</v>
      </c>
      <c r="G39" s="270">
        <f t="shared" si="23"/>
        <v>5.722626</v>
      </c>
      <c r="H39" s="270">
        <f t="shared" si="23"/>
        <v>5.6969640000000004</v>
      </c>
      <c r="I39" s="270">
        <f t="shared" si="23"/>
        <v>5.6713019999999998</v>
      </c>
      <c r="J39" s="270">
        <f t="shared" si="23"/>
        <v>5.6456400000000002</v>
      </c>
      <c r="K39" s="270">
        <f t="shared" si="23"/>
        <v>5.6199779999999997</v>
      </c>
      <c r="L39" s="270">
        <f t="shared" si="23"/>
        <v>5.5943160000000001</v>
      </c>
      <c r="M39" s="270">
        <f t="shared" si="23"/>
        <v>5.5686539999999995</v>
      </c>
      <c r="N39" s="270">
        <f t="shared" si="23"/>
        <v>5.5429919999999999</v>
      </c>
      <c r="O39" s="270">
        <f t="shared" si="23"/>
        <v>5.5173300000000003</v>
      </c>
      <c r="P39" s="270">
        <f t="shared" si="23"/>
        <v>5.4916679999999998</v>
      </c>
      <c r="Q39" s="270">
        <f t="shared" si="23"/>
        <v>5.4660060000000001</v>
      </c>
      <c r="R39" s="270">
        <f t="shared" si="23"/>
        <v>5.4403439999999996</v>
      </c>
      <c r="S39" s="270">
        <f t="shared" si="23"/>
        <v>5.414682</v>
      </c>
      <c r="T39" s="270">
        <f t="shared" si="23"/>
        <v>5.3890200000000004</v>
      </c>
      <c r="U39" s="270">
        <f t="shared" si="23"/>
        <v>5.3633579999999998</v>
      </c>
      <c r="V39" s="270">
        <f t="shared" si="23"/>
        <v>5.3376960000000002</v>
      </c>
      <c r="W39" s="270">
        <f t="shared" si="23"/>
        <v>5.3120339999999997</v>
      </c>
      <c r="X39" s="270">
        <f t="shared" si="23"/>
        <v>5.2863720000000001</v>
      </c>
      <c r="Y39" s="270">
        <f t="shared" si="23"/>
        <v>5.2607099999999996</v>
      </c>
      <c r="Z39" s="270">
        <f t="shared" si="23"/>
        <v>5.2350479999999999</v>
      </c>
      <c r="AA39" s="270">
        <f t="shared" si="23"/>
        <v>5.2093860000000003</v>
      </c>
      <c r="AB39" s="270">
        <f t="shared" si="23"/>
        <v>5.1837239999999998</v>
      </c>
      <c r="AC39" s="270">
        <f t="shared" si="23"/>
        <v>5.1580620000000001</v>
      </c>
      <c r="AD39" s="270">
        <f t="shared" si="23"/>
        <v>5.1323999999999996</v>
      </c>
      <c r="AE39" s="270">
        <f t="shared" si="23"/>
        <v>5.106738</v>
      </c>
      <c r="AF39" s="270">
        <f t="shared" si="23"/>
        <v>5.0810760000000004</v>
      </c>
      <c r="AG39" s="270">
        <f t="shared" si="23"/>
        <v>5.0554139999999999</v>
      </c>
      <c r="AH39" s="271">
        <f t="shared" si="23"/>
        <v>5.0297520000000002</v>
      </c>
      <c r="AI39" s="133">
        <f>SUM(E40:AH40)</f>
        <v>0</v>
      </c>
    </row>
    <row r="40" spans="1:36">
      <c r="A40" s="273" t="s">
        <v>86</v>
      </c>
      <c r="B40" s="274"/>
      <c r="C40" s="269"/>
      <c r="D40" s="269"/>
      <c r="E40" s="269">
        <f>B16</f>
        <v>0</v>
      </c>
      <c r="F40" s="269"/>
      <c r="G40" s="269"/>
      <c r="H40" s="269"/>
      <c r="I40" s="269"/>
      <c r="J40" s="269"/>
      <c r="K40" s="269"/>
      <c r="L40" s="269"/>
      <c r="M40" s="269"/>
      <c r="N40" s="269"/>
      <c r="O40" s="269"/>
      <c r="P40" s="269"/>
      <c r="Q40" s="269"/>
      <c r="R40" s="269"/>
      <c r="S40" s="269"/>
      <c r="T40" s="269"/>
      <c r="U40" s="269"/>
      <c r="V40" s="269"/>
      <c r="W40" s="269"/>
      <c r="X40" s="269"/>
      <c r="Y40" s="269"/>
      <c r="Z40" s="269"/>
      <c r="AA40" s="269"/>
      <c r="AB40" s="269"/>
      <c r="AC40" s="269"/>
      <c r="AD40" s="269"/>
      <c r="AE40" s="269"/>
      <c r="AF40" s="269"/>
      <c r="AG40" s="269"/>
      <c r="AH40" s="275"/>
      <c r="AI40" s="103"/>
    </row>
    <row r="41" spans="1:36">
      <c r="A41" s="276" t="s">
        <v>87</v>
      </c>
      <c r="B41" s="277" t="s">
        <v>51</v>
      </c>
      <c r="C41" s="278">
        <f>AVERAGE(E41:AC41)</f>
        <v>23.056980486412641</v>
      </c>
      <c r="D41" s="279"/>
      <c r="E41" s="279">
        <f>SUM(E37:E40)</f>
        <v>23.371794810000001</v>
      </c>
      <c r="F41" s="279">
        <f t="shared" ref="F41:AH41" si="24">SUM(F37:F40)</f>
        <v>23.3506805680512</v>
      </c>
      <c r="G41" s="279">
        <f t="shared" si="24"/>
        <v>23.328902887971516</v>
      </c>
      <c r="H41" s="279">
        <f t="shared" si="24"/>
        <v>23.306460979612709</v>
      </c>
      <c r="I41" s="279">
        <f t="shared" si="24"/>
        <v>23.283354049437417</v>
      </c>
      <c r="J41" s="279">
        <f t="shared" si="24"/>
        <v>23.259581300505978</v>
      </c>
      <c r="K41" s="279">
        <f t="shared" si="24"/>
        <v>23.235141932463094</v>
      </c>
      <c r="L41" s="279">
        <f t="shared" si="24"/>
        <v>23.210035141524571</v>
      </c>
      <c r="M41" s="279">
        <f t="shared" si="24"/>
        <v>23.184260120463911</v>
      </c>
      <c r="N41" s="279">
        <f t="shared" si="24"/>
        <v>23.157816058598897</v>
      </c>
      <c r="O41" s="279">
        <f t="shared" si="24"/>
        <v>23.130702141778144</v>
      </c>
      <c r="P41" s="279">
        <f t="shared" si="24"/>
        <v>23.102917552367558</v>
      </c>
      <c r="Q41" s="279">
        <f t="shared" si="24"/>
        <v>23.074461469236766</v>
      </c>
      <c r="R41" s="279">
        <f t="shared" si="24"/>
        <v>23.045333067745521</v>
      </c>
      <c r="S41" s="279">
        <f t="shared" si="24"/>
        <v>23.015531519730022</v>
      </c>
      <c r="T41" s="279">
        <f t="shared" si="24"/>
        <v>22.985055993489169</v>
      </c>
      <c r="U41" s="279">
        <f t="shared" si="24"/>
        <v>22.953905653770825</v>
      </c>
      <c r="V41" s="279">
        <f t="shared" si="24"/>
        <v>22.922079661757994</v>
      </c>
      <c r="W41" s="279">
        <f t="shared" si="24"/>
        <v>22.889577175054924</v>
      </c>
      <c r="X41" s="279">
        <f t="shared" si="24"/>
        <v>22.856397347673209</v>
      </c>
      <c r="Y41" s="279">
        <f t="shared" si="24"/>
        <v>22.822539330017797</v>
      </c>
      <c r="Z41" s="279">
        <f t="shared" si="24"/>
        <v>22.788002268872983</v>
      </c>
      <c r="AA41" s="279">
        <f t="shared" si="24"/>
        <v>22.752785307388308</v>
      </c>
      <c r="AB41" s="279">
        <f t="shared" si="24"/>
        <v>22.716887585064448</v>
      </c>
      <c r="AC41" s="279">
        <f t="shared" si="24"/>
        <v>22.680308237739034</v>
      </c>
      <c r="AD41" s="279">
        <f t="shared" si="24"/>
        <v>22.643046397572387</v>
      </c>
      <c r="AE41" s="279">
        <f t="shared" si="24"/>
        <v>22.605101193033278</v>
      </c>
      <c r="AF41" s="279">
        <f t="shared" si="24"/>
        <v>22.566471748884556</v>
      </c>
      <c r="AG41" s="279">
        <f t="shared" si="24"/>
        <v>22.527157186168768</v>
      </c>
      <c r="AH41" s="280">
        <f t="shared" si="24"/>
        <v>22.487156622193716</v>
      </c>
      <c r="AI41" s="139"/>
    </row>
    <row r="42" spans="1:36" s="55" customFormat="1">
      <c r="A42" s="127"/>
      <c r="B42" s="140"/>
      <c r="C42" s="141"/>
      <c r="D42" s="142"/>
      <c r="E42" s="143"/>
      <c r="F42" s="142"/>
      <c r="G42" s="142"/>
      <c r="H42" s="142"/>
      <c r="I42" s="142"/>
      <c r="J42" s="142"/>
      <c r="K42" s="142"/>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4"/>
      <c r="AI42" s="103"/>
    </row>
    <row r="43" spans="1:36">
      <c r="A43" s="261" t="s">
        <v>88</v>
      </c>
      <c r="B43" s="262" t="s">
        <v>89</v>
      </c>
      <c r="C43" s="263"/>
      <c r="D43" s="264"/>
      <c r="E43" s="265"/>
      <c r="F43" s="264"/>
      <c r="G43" s="264"/>
      <c r="H43" s="264"/>
      <c r="I43" s="264"/>
      <c r="J43" s="264"/>
      <c r="K43" s="264"/>
      <c r="L43" s="264"/>
      <c r="M43" s="264"/>
      <c r="N43" s="264"/>
      <c r="O43" s="264"/>
      <c r="P43" s="264"/>
      <c r="Q43" s="264"/>
      <c r="R43" s="264"/>
      <c r="S43" s="264"/>
      <c r="T43" s="264"/>
      <c r="U43" s="264"/>
      <c r="V43" s="264"/>
      <c r="W43" s="264"/>
      <c r="X43" s="264"/>
      <c r="Y43" s="264"/>
      <c r="Z43" s="264"/>
      <c r="AA43" s="264"/>
      <c r="AB43" s="264"/>
      <c r="AC43" s="264"/>
      <c r="AD43" s="264"/>
      <c r="AE43" s="264"/>
      <c r="AF43" s="264"/>
      <c r="AG43" s="264"/>
      <c r="AH43" s="266"/>
      <c r="AI43" s="103"/>
    </row>
    <row r="44" spans="1:36">
      <c r="A44" s="92" t="s">
        <v>90</v>
      </c>
      <c r="B44" s="113">
        <v>5.0000000000000001E-3</v>
      </c>
      <c r="C44" s="125">
        <f>AVERAGE(E44:AC44)</f>
        <v>3.50516576352104</v>
      </c>
      <c r="D44" s="99">
        <v>0</v>
      </c>
      <c r="E44" s="281">
        <f>E35*$H20</f>
        <v>3.2994000000000008</v>
      </c>
      <c r="F44" s="282">
        <f t="shared" ref="F44:U45" si="25">E44+E44*$B44</f>
        <v>3.315897000000001</v>
      </c>
      <c r="G44" s="282">
        <f t="shared" si="25"/>
        <v>3.3324764850000008</v>
      </c>
      <c r="H44" s="282">
        <f t="shared" si="25"/>
        <v>3.3491388674250007</v>
      </c>
      <c r="I44" s="282">
        <f t="shared" si="25"/>
        <v>3.3658845617621256</v>
      </c>
      <c r="J44" s="282">
        <f t="shared" si="25"/>
        <v>3.3827139845709362</v>
      </c>
      <c r="K44" s="282">
        <f t="shared" si="25"/>
        <v>3.3996275544937911</v>
      </c>
      <c r="L44" s="282">
        <f t="shared" si="25"/>
        <v>3.4166256922662601</v>
      </c>
      <c r="M44" s="282">
        <f t="shared" si="25"/>
        <v>3.4337088207275914</v>
      </c>
      <c r="N44" s="282">
        <f t="shared" si="25"/>
        <v>3.4508773648312294</v>
      </c>
      <c r="O44" s="282">
        <f t="shared" si="25"/>
        <v>3.4681317516553856</v>
      </c>
      <c r="P44" s="282">
        <f t="shared" si="25"/>
        <v>3.4854724104136623</v>
      </c>
      <c r="Q44" s="282">
        <f t="shared" si="25"/>
        <v>3.5028997724657307</v>
      </c>
      <c r="R44" s="282">
        <f t="shared" si="25"/>
        <v>3.5204142713280593</v>
      </c>
      <c r="S44" s="282">
        <f t="shared" si="25"/>
        <v>3.5380163426846996</v>
      </c>
      <c r="T44" s="282">
        <f t="shared" si="25"/>
        <v>3.5557064243981231</v>
      </c>
      <c r="U44" s="282">
        <f t="shared" si="25"/>
        <v>3.5734849565201139</v>
      </c>
      <c r="V44" s="282">
        <f t="shared" ref="V44:AH45" si="26">U44+U44*$B44</f>
        <v>3.5913523813027144</v>
      </c>
      <c r="W44" s="282">
        <f t="shared" si="26"/>
        <v>3.6093091432092281</v>
      </c>
      <c r="X44" s="282">
        <f t="shared" si="26"/>
        <v>3.6273556889252743</v>
      </c>
      <c r="Y44" s="282">
        <f t="shared" si="26"/>
        <v>3.6454924673699005</v>
      </c>
      <c r="Z44" s="282">
        <f t="shared" si="26"/>
        <v>3.6637199297067502</v>
      </c>
      <c r="AA44" s="282">
        <f t="shared" si="26"/>
        <v>3.682038529355284</v>
      </c>
      <c r="AB44" s="282">
        <f t="shared" si="26"/>
        <v>3.7004487220020605</v>
      </c>
      <c r="AC44" s="282">
        <f t="shared" si="26"/>
        <v>3.7189509656120707</v>
      </c>
      <c r="AD44" s="282">
        <f t="shared" si="26"/>
        <v>3.737545720440131</v>
      </c>
      <c r="AE44" s="282">
        <f t="shared" si="26"/>
        <v>3.7562334490423317</v>
      </c>
      <c r="AF44" s="282">
        <f t="shared" si="26"/>
        <v>3.7750146162875433</v>
      </c>
      <c r="AG44" s="282">
        <f t="shared" si="26"/>
        <v>3.7938896893689811</v>
      </c>
      <c r="AH44" s="283">
        <f t="shared" si="26"/>
        <v>3.8128591378158259</v>
      </c>
      <c r="AI44" s="133">
        <f>SUM(E45:AH45)*-1</f>
        <v>-96840.04973720749</v>
      </c>
    </row>
    <row r="45" spans="1:36">
      <c r="A45" s="92" t="s">
        <v>91</v>
      </c>
      <c r="B45" s="113">
        <v>5.0000000000000001E-3</v>
      </c>
      <c r="C45" s="125">
        <f>AVERAGE(E45:AC45)</f>
        <v>3187.0938020740491</v>
      </c>
      <c r="D45" s="99">
        <v>0</v>
      </c>
      <c r="E45" s="281">
        <v>3000</v>
      </c>
      <c r="F45" s="282">
        <f t="shared" si="25"/>
        <v>3015</v>
      </c>
      <c r="G45" s="282">
        <f t="shared" si="25"/>
        <v>3030.0749999999998</v>
      </c>
      <c r="H45" s="282">
        <f t="shared" si="25"/>
        <v>3045.225375</v>
      </c>
      <c r="I45" s="282">
        <f t="shared" si="25"/>
        <v>3060.4515018749998</v>
      </c>
      <c r="J45" s="282">
        <f t="shared" si="25"/>
        <v>3075.7537593843749</v>
      </c>
      <c r="K45" s="282">
        <f t="shared" si="25"/>
        <v>3091.1325281812969</v>
      </c>
      <c r="L45" s="282">
        <f t="shared" si="25"/>
        <v>3106.5881908222036</v>
      </c>
      <c r="M45" s="282">
        <f t="shared" si="25"/>
        <v>3122.1211317763145</v>
      </c>
      <c r="N45" s="282">
        <f t="shared" si="25"/>
        <v>3137.731737435196</v>
      </c>
      <c r="O45" s="282">
        <f t="shared" si="25"/>
        <v>3153.420396122372</v>
      </c>
      <c r="P45" s="282">
        <f t="shared" si="25"/>
        <v>3169.1874981029837</v>
      </c>
      <c r="Q45" s="282">
        <f t="shared" si="25"/>
        <v>3185.0334355934988</v>
      </c>
      <c r="R45" s="282">
        <f t="shared" si="25"/>
        <v>3200.9586027714663</v>
      </c>
      <c r="S45" s="282">
        <f t="shared" si="25"/>
        <v>3216.9633957853234</v>
      </c>
      <c r="T45" s="282">
        <f t="shared" si="25"/>
        <v>3233.0482127642499</v>
      </c>
      <c r="U45" s="282">
        <f t="shared" si="25"/>
        <v>3249.2134538280711</v>
      </c>
      <c r="V45" s="282">
        <f t="shared" si="26"/>
        <v>3265.4595210972116</v>
      </c>
      <c r="W45" s="282">
        <f t="shared" si="26"/>
        <v>3281.7868187026975</v>
      </c>
      <c r="X45" s="282">
        <f t="shared" si="26"/>
        <v>3298.1957527962109</v>
      </c>
      <c r="Y45" s="282">
        <f t="shared" si="26"/>
        <v>3314.6867315601921</v>
      </c>
      <c r="Z45" s="282">
        <f t="shared" si="26"/>
        <v>3331.2601652179933</v>
      </c>
      <c r="AA45" s="282">
        <f t="shared" si="26"/>
        <v>3347.9164660440833</v>
      </c>
      <c r="AB45" s="282">
        <f t="shared" si="26"/>
        <v>3364.6560483743037</v>
      </c>
      <c r="AC45" s="282">
        <f t="shared" si="26"/>
        <v>3381.4793286161753</v>
      </c>
      <c r="AD45" s="282">
        <f t="shared" si="26"/>
        <v>3398.3867252592563</v>
      </c>
      <c r="AE45" s="282">
        <f t="shared" si="26"/>
        <v>3415.3786588855528</v>
      </c>
      <c r="AF45" s="282">
        <f t="shared" si="26"/>
        <v>3432.4555521799807</v>
      </c>
      <c r="AG45" s="282">
        <f t="shared" si="26"/>
        <v>3449.6178299408807</v>
      </c>
      <c r="AH45" s="283">
        <f t="shared" si="26"/>
        <v>3466.8659190905851</v>
      </c>
      <c r="AI45" s="103"/>
    </row>
    <row r="46" spans="1:36">
      <c r="A46" s="135" t="s">
        <v>92</v>
      </c>
      <c r="B46" s="145"/>
      <c r="C46" s="146"/>
      <c r="D46" s="142"/>
      <c r="E46" s="284"/>
      <c r="F46" s="131"/>
      <c r="G46" s="131"/>
      <c r="H46" s="131"/>
      <c r="I46" s="131"/>
      <c r="J46" s="131"/>
      <c r="K46" s="131"/>
      <c r="L46" s="131"/>
      <c r="M46" s="131"/>
      <c r="N46" s="131"/>
      <c r="O46" s="131"/>
      <c r="P46" s="131"/>
      <c r="Q46" s="131"/>
      <c r="R46" s="131"/>
      <c r="S46" s="131"/>
      <c r="T46" s="131"/>
      <c r="U46" s="131"/>
      <c r="V46" s="131"/>
      <c r="W46" s="131"/>
      <c r="X46" s="131"/>
      <c r="Y46" s="131"/>
      <c r="Z46" s="131"/>
      <c r="AA46" s="131"/>
      <c r="AB46" s="131"/>
      <c r="AC46" s="131"/>
      <c r="AD46" s="131"/>
      <c r="AE46" s="131"/>
      <c r="AF46" s="131"/>
      <c r="AG46" s="131"/>
      <c r="AH46" s="132"/>
      <c r="AI46" s="103"/>
    </row>
    <row r="47" spans="1:36">
      <c r="A47" s="147" t="s">
        <v>93</v>
      </c>
      <c r="B47" s="148"/>
      <c r="C47" s="149">
        <f>AVERAGE(E47:AC47)</f>
        <v>3190.5989678375695</v>
      </c>
      <c r="D47" s="150"/>
      <c r="E47" s="285">
        <f t="shared" ref="E47:AH47" si="27">SUM(E44:E45)</f>
        <v>3003.2993999999999</v>
      </c>
      <c r="F47" s="285">
        <f t="shared" si="27"/>
        <v>3018.3158969999999</v>
      </c>
      <c r="G47" s="285">
        <f t="shared" si="27"/>
        <v>3033.4074764849997</v>
      </c>
      <c r="H47" s="285">
        <f t="shared" si="27"/>
        <v>3048.5745138674251</v>
      </c>
      <c r="I47" s="285">
        <f t="shared" si="27"/>
        <v>3063.8173864367618</v>
      </c>
      <c r="J47" s="285">
        <f t="shared" si="27"/>
        <v>3079.1364733689456</v>
      </c>
      <c r="K47" s="285">
        <f t="shared" si="27"/>
        <v>3094.5321557357906</v>
      </c>
      <c r="L47" s="285">
        <f t="shared" si="27"/>
        <v>3110.0048165144699</v>
      </c>
      <c r="M47" s="285">
        <f t="shared" si="27"/>
        <v>3125.5548405970421</v>
      </c>
      <c r="N47" s="285">
        <f t="shared" si="27"/>
        <v>3141.1826148000273</v>
      </c>
      <c r="O47" s="285">
        <f t="shared" si="27"/>
        <v>3156.8885278740272</v>
      </c>
      <c r="P47" s="285">
        <f t="shared" si="27"/>
        <v>3172.6729705133976</v>
      </c>
      <c r="Q47" s="285">
        <f t="shared" si="27"/>
        <v>3188.5363353659645</v>
      </c>
      <c r="R47" s="285">
        <f t="shared" si="27"/>
        <v>3204.4790170427946</v>
      </c>
      <c r="S47" s="285">
        <f t="shared" si="27"/>
        <v>3220.5014121280083</v>
      </c>
      <c r="T47" s="285">
        <f t="shared" si="27"/>
        <v>3236.603919188648</v>
      </c>
      <c r="U47" s="285">
        <f t="shared" si="27"/>
        <v>3252.7869387845913</v>
      </c>
      <c r="V47" s="285">
        <f t="shared" si="27"/>
        <v>3269.0508734785144</v>
      </c>
      <c r="W47" s="285">
        <f t="shared" si="27"/>
        <v>3285.3961278459069</v>
      </c>
      <c r="X47" s="285">
        <f t="shared" si="27"/>
        <v>3301.8231084851363</v>
      </c>
      <c r="Y47" s="285">
        <f t="shared" si="27"/>
        <v>3318.332224027562</v>
      </c>
      <c r="Z47" s="285">
        <f t="shared" si="27"/>
        <v>3334.9238851476998</v>
      </c>
      <c r="AA47" s="285">
        <f t="shared" si="27"/>
        <v>3351.5985045734387</v>
      </c>
      <c r="AB47" s="285">
        <f t="shared" si="27"/>
        <v>3368.3564970963057</v>
      </c>
      <c r="AC47" s="285">
        <f t="shared" si="27"/>
        <v>3385.1982795817876</v>
      </c>
      <c r="AD47" s="285">
        <f t="shared" si="27"/>
        <v>3402.1242709796966</v>
      </c>
      <c r="AE47" s="285">
        <f t="shared" si="27"/>
        <v>3419.134892334595</v>
      </c>
      <c r="AF47" s="285">
        <f t="shared" si="27"/>
        <v>3436.2305667962682</v>
      </c>
      <c r="AG47" s="285">
        <f t="shared" si="27"/>
        <v>3453.4117196302495</v>
      </c>
      <c r="AH47" s="286">
        <f t="shared" si="27"/>
        <v>3470.6787782284009</v>
      </c>
      <c r="AI47" s="139"/>
    </row>
    <row r="48" spans="1:36" s="55" customFormat="1">
      <c r="A48" s="92"/>
      <c r="B48" s="113"/>
      <c r="C48" s="125"/>
      <c r="D48" s="99"/>
      <c r="E48" s="151"/>
      <c r="F48" s="99"/>
      <c r="G48" s="99"/>
      <c r="H48" s="99"/>
      <c r="I48" s="99"/>
      <c r="J48" s="99"/>
      <c r="K48" s="99"/>
      <c r="L48" s="99"/>
      <c r="M48" s="99"/>
      <c r="N48" s="99"/>
      <c r="O48" s="99"/>
      <c r="P48" s="99"/>
      <c r="Q48" s="99"/>
      <c r="R48" s="99"/>
      <c r="S48" s="99"/>
      <c r="T48" s="99"/>
      <c r="U48" s="99"/>
      <c r="V48" s="99"/>
      <c r="W48" s="99"/>
      <c r="X48" s="99"/>
      <c r="Y48" s="99"/>
      <c r="Z48" s="99"/>
      <c r="AA48" s="99"/>
      <c r="AB48" s="99"/>
      <c r="AC48" s="99"/>
      <c r="AD48" s="99"/>
      <c r="AE48" s="99"/>
      <c r="AF48" s="99"/>
      <c r="AG48" s="99"/>
      <c r="AH48" s="102"/>
      <c r="AI48" s="103"/>
    </row>
    <row r="49" spans="1:36" ht="18.75" customHeight="1">
      <c r="A49" s="147" t="s">
        <v>94</v>
      </c>
      <c r="B49" s="148" t="s">
        <v>51</v>
      </c>
      <c r="C49" s="149">
        <f>AVERAGE(E49:AC49)</f>
        <v>-3167.5419873511569</v>
      </c>
      <c r="D49" s="147"/>
      <c r="E49" s="147">
        <f t="shared" ref="E49:AH49" si="28">E41-E47</f>
        <v>-2979.9276051899997</v>
      </c>
      <c r="F49" s="147">
        <f t="shared" si="28"/>
        <v>-2994.9652164319486</v>
      </c>
      <c r="G49" s="147">
        <f t="shared" si="28"/>
        <v>-3010.078573597028</v>
      </c>
      <c r="H49" s="147">
        <f t="shared" si="28"/>
        <v>-3025.2680528878122</v>
      </c>
      <c r="I49" s="147">
        <f t="shared" si="28"/>
        <v>-3040.5340323873243</v>
      </c>
      <c r="J49" s="147">
        <f t="shared" si="28"/>
        <v>-3055.8768920684397</v>
      </c>
      <c r="K49" s="147">
        <f t="shared" si="28"/>
        <v>-3071.2970138033274</v>
      </c>
      <c r="L49" s="147">
        <f t="shared" si="28"/>
        <v>-3086.7947813729452</v>
      </c>
      <c r="M49" s="147">
        <f t="shared" si="28"/>
        <v>-3102.3705804765782</v>
      </c>
      <c r="N49" s="147">
        <f t="shared" si="28"/>
        <v>-3118.0247987414282</v>
      </c>
      <c r="O49" s="147">
        <f t="shared" si="28"/>
        <v>-3133.7578257322489</v>
      </c>
      <c r="P49" s="147">
        <f t="shared" si="28"/>
        <v>-3149.5700529610299</v>
      </c>
      <c r="Q49" s="147">
        <f t="shared" si="28"/>
        <v>-3165.4618738967279</v>
      </c>
      <c r="R49" s="147">
        <f t="shared" si="28"/>
        <v>-3181.433683975049</v>
      </c>
      <c r="S49" s="147">
        <f t="shared" si="28"/>
        <v>-3197.4858806082784</v>
      </c>
      <c r="T49" s="147">
        <f t="shared" si="28"/>
        <v>-3213.6188631951586</v>
      </c>
      <c r="U49" s="147">
        <f t="shared" si="28"/>
        <v>-3229.8330331308202</v>
      </c>
      <c r="V49" s="147">
        <f t="shared" si="28"/>
        <v>-3246.1287938167566</v>
      </c>
      <c r="W49" s="147">
        <f t="shared" si="28"/>
        <v>-3262.506550670852</v>
      </c>
      <c r="X49" s="147">
        <f t="shared" si="28"/>
        <v>-3278.9667111374633</v>
      </c>
      <c r="Y49" s="147">
        <f t="shared" si="28"/>
        <v>-3295.5096846975443</v>
      </c>
      <c r="Z49" s="147">
        <f t="shared" si="28"/>
        <v>-3312.135882878827</v>
      </c>
      <c r="AA49" s="147">
        <f t="shared" si="28"/>
        <v>-3328.8457192660503</v>
      </c>
      <c r="AB49" s="147">
        <f t="shared" si="28"/>
        <v>-3345.6396095112414</v>
      </c>
      <c r="AC49" s="147">
        <f t="shared" si="28"/>
        <v>-3362.5179713440484</v>
      </c>
      <c r="AD49" s="147">
        <f t="shared" si="28"/>
        <v>-3379.481224582124</v>
      </c>
      <c r="AE49" s="147">
        <f t="shared" si="28"/>
        <v>-3396.5297911415619</v>
      </c>
      <c r="AF49" s="147">
        <f t="shared" si="28"/>
        <v>-3413.6640950473839</v>
      </c>
      <c r="AG49" s="147">
        <f t="shared" si="28"/>
        <v>-3430.884562444081</v>
      </c>
      <c r="AH49" s="152">
        <f t="shared" si="28"/>
        <v>-3448.1916216062073</v>
      </c>
      <c r="AI49" s="139"/>
    </row>
    <row r="50" spans="1:36" s="55" customFormat="1">
      <c r="A50" s="92" t="s">
        <v>185</v>
      </c>
      <c r="B50" s="134" t="s">
        <v>51</v>
      </c>
      <c r="C50" s="149">
        <f>AVERAGE(E50:AH50)</f>
        <v>8.7979658000000018</v>
      </c>
      <c r="D50" s="99"/>
      <c r="E50" s="282">
        <f>IF(($B$21)&gt;E$26,($B$15)/($B$21),0)</f>
        <v>13.196948699999998</v>
      </c>
      <c r="F50" s="282">
        <f t="shared" ref="F50:X50" si="29">IF(($B$21)&gt;E$26,($B$15)/($B$21),0)</f>
        <v>13.196948699999998</v>
      </c>
      <c r="G50" s="282">
        <f t="shared" si="29"/>
        <v>13.196948699999998</v>
      </c>
      <c r="H50" s="282">
        <f t="shared" si="29"/>
        <v>13.196948699999998</v>
      </c>
      <c r="I50" s="282">
        <f t="shared" si="29"/>
        <v>13.196948699999998</v>
      </c>
      <c r="J50" s="282">
        <f t="shared" si="29"/>
        <v>13.196948699999998</v>
      </c>
      <c r="K50" s="282">
        <f t="shared" si="29"/>
        <v>13.196948699999998</v>
      </c>
      <c r="L50" s="282">
        <f t="shared" si="29"/>
        <v>13.196948699999998</v>
      </c>
      <c r="M50" s="282">
        <f t="shared" si="29"/>
        <v>13.196948699999998</v>
      </c>
      <c r="N50" s="282">
        <f t="shared" si="29"/>
        <v>13.196948699999998</v>
      </c>
      <c r="O50" s="282">
        <f t="shared" si="29"/>
        <v>13.196948699999998</v>
      </c>
      <c r="P50" s="282">
        <f t="shared" si="29"/>
        <v>13.196948699999998</v>
      </c>
      <c r="Q50" s="282">
        <f t="shared" si="29"/>
        <v>13.196948699999998</v>
      </c>
      <c r="R50" s="282">
        <f t="shared" si="29"/>
        <v>13.196948699999998</v>
      </c>
      <c r="S50" s="282">
        <f t="shared" si="29"/>
        <v>13.196948699999998</v>
      </c>
      <c r="T50" s="282">
        <f t="shared" si="29"/>
        <v>13.196948699999998</v>
      </c>
      <c r="U50" s="282">
        <f t="shared" si="29"/>
        <v>13.196948699999998</v>
      </c>
      <c r="V50" s="282">
        <f t="shared" si="29"/>
        <v>13.196948699999998</v>
      </c>
      <c r="W50" s="282">
        <f t="shared" si="29"/>
        <v>13.196948699999998</v>
      </c>
      <c r="X50" s="282">
        <f t="shared" si="29"/>
        <v>13.196948699999998</v>
      </c>
      <c r="Y50" s="282">
        <v>0</v>
      </c>
      <c r="Z50" s="282">
        <v>0</v>
      </c>
      <c r="AA50" s="282">
        <v>0</v>
      </c>
      <c r="AB50" s="282">
        <v>0</v>
      </c>
      <c r="AC50" s="282">
        <v>0</v>
      </c>
      <c r="AD50" s="282">
        <v>0</v>
      </c>
      <c r="AE50" s="282">
        <v>0</v>
      </c>
      <c r="AF50" s="282">
        <v>0</v>
      </c>
      <c r="AG50" s="282">
        <v>0</v>
      </c>
      <c r="AH50" s="282">
        <v>0</v>
      </c>
      <c r="AI50" s="133"/>
    </row>
    <row r="51" spans="1:36" ht="14.25" customHeight="1">
      <c r="A51" s="142"/>
      <c r="B51" s="153"/>
      <c r="C51" s="149"/>
      <c r="D51" s="136"/>
      <c r="E51" s="137"/>
      <c r="F51" s="137"/>
      <c r="G51" s="137"/>
      <c r="H51" s="137"/>
      <c r="I51" s="137"/>
      <c r="J51" s="137"/>
      <c r="K51" s="137"/>
      <c r="L51" s="137"/>
      <c r="M51" s="137"/>
      <c r="N51" s="137"/>
      <c r="O51" s="137"/>
      <c r="P51" s="137"/>
      <c r="Q51" s="137"/>
      <c r="R51" s="137"/>
      <c r="S51" s="137"/>
      <c r="T51" s="137"/>
      <c r="U51" s="137"/>
      <c r="V51" s="137"/>
      <c r="W51" s="137"/>
      <c r="X51" s="137"/>
      <c r="Y51" s="137"/>
      <c r="Z51" s="137"/>
      <c r="AA51" s="137"/>
      <c r="AB51" s="137"/>
      <c r="AC51" s="137"/>
      <c r="AD51" s="137"/>
      <c r="AE51" s="137"/>
      <c r="AF51" s="137"/>
      <c r="AG51" s="137"/>
      <c r="AH51" s="138"/>
      <c r="AI51" s="139"/>
    </row>
    <row r="52" spans="1:36" s="55" customFormat="1" ht="16.5" customHeight="1">
      <c r="A52" s="147" t="s">
        <v>177</v>
      </c>
      <c r="B52" s="148"/>
      <c r="C52" s="149">
        <f>AVERAGE(E52:AH52)</f>
        <v>-3217.374665086676</v>
      </c>
      <c r="D52" s="155"/>
      <c r="E52" s="147">
        <f>E49-E50</f>
        <v>-2993.1245538899998</v>
      </c>
      <c r="F52" s="147">
        <f t="shared" ref="F52:AH52" si="30">F49-F50</f>
        <v>-3008.1621651319488</v>
      </c>
      <c r="G52" s="147">
        <f t="shared" si="30"/>
        <v>-3023.2755222970281</v>
      </c>
      <c r="H52" s="147">
        <f t="shared" si="30"/>
        <v>-3038.4650015878124</v>
      </c>
      <c r="I52" s="147">
        <f t="shared" si="30"/>
        <v>-3053.7309810873244</v>
      </c>
      <c r="J52" s="147">
        <f t="shared" si="30"/>
        <v>-3069.0738407684398</v>
      </c>
      <c r="K52" s="147">
        <f t="shared" si="30"/>
        <v>-3084.4939625033276</v>
      </c>
      <c r="L52" s="147">
        <f t="shared" si="30"/>
        <v>-3099.9917300729453</v>
      </c>
      <c r="M52" s="147">
        <f t="shared" si="30"/>
        <v>-3115.5675291765783</v>
      </c>
      <c r="N52" s="147">
        <f t="shared" si="30"/>
        <v>-3131.2217474414283</v>
      </c>
      <c r="O52" s="147">
        <f t="shared" si="30"/>
        <v>-3146.954774432249</v>
      </c>
      <c r="P52" s="147">
        <f t="shared" si="30"/>
        <v>-3162.76700166103</v>
      </c>
      <c r="Q52" s="147">
        <f t="shared" si="30"/>
        <v>-3178.658822596728</v>
      </c>
      <c r="R52" s="147">
        <f t="shared" si="30"/>
        <v>-3194.6306326750491</v>
      </c>
      <c r="S52" s="147">
        <f t="shared" si="30"/>
        <v>-3210.6828293082785</v>
      </c>
      <c r="T52" s="147">
        <f t="shared" si="30"/>
        <v>-3226.8158118951587</v>
      </c>
      <c r="U52" s="147">
        <f t="shared" si="30"/>
        <v>-3243.0299818308204</v>
      </c>
      <c r="V52" s="147">
        <f t="shared" si="30"/>
        <v>-3259.3257425167567</v>
      </c>
      <c r="W52" s="147">
        <f t="shared" si="30"/>
        <v>-3275.7034993708521</v>
      </c>
      <c r="X52" s="147">
        <f t="shared" si="30"/>
        <v>-3292.1636598374635</v>
      </c>
      <c r="Y52" s="147">
        <f t="shared" si="30"/>
        <v>-3295.5096846975443</v>
      </c>
      <c r="Z52" s="147">
        <f t="shared" si="30"/>
        <v>-3312.135882878827</v>
      </c>
      <c r="AA52" s="147">
        <f t="shared" si="30"/>
        <v>-3328.8457192660503</v>
      </c>
      <c r="AB52" s="147">
        <f t="shared" si="30"/>
        <v>-3345.6396095112414</v>
      </c>
      <c r="AC52" s="147">
        <f t="shared" si="30"/>
        <v>-3362.5179713440484</v>
      </c>
      <c r="AD52" s="147">
        <f t="shared" si="30"/>
        <v>-3379.481224582124</v>
      </c>
      <c r="AE52" s="147">
        <f t="shared" si="30"/>
        <v>-3396.5297911415619</v>
      </c>
      <c r="AF52" s="147">
        <f t="shared" si="30"/>
        <v>-3413.6640950473839</v>
      </c>
      <c r="AG52" s="147">
        <f t="shared" si="30"/>
        <v>-3430.884562444081</v>
      </c>
      <c r="AH52" s="147">
        <f t="shared" si="30"/>
        <v>-3448.1916216062073</v>
      </c>
      <c r="AI52" s="139"/>
    </row>
    <row r="53" spans="1:36" s="55" customFormat="1" ht="6.4" customHeight="1">
      <c r="A53" s="136"/>
      <c r="B53" s="153"/>
      <c r="C53" s="125"/>
      <c r="D53" s="136"/>
      <c r="E53" s="136"/>
      <c r="F53" s="136"/>
      <c r="G53" s="136"/>
      <c r="H53" s="136"/>
      <c r="I53" s="136"/>
      <c r="J53" s="136"/>
      <c r="K53" s="136"/>
      <c r="L53" s="136"/>
      <c r="M53" s="136"/>
      <c r="N53" s="136"/>
      <c r="O53" s="136"/>
      <c r="P53" s="136"/>
      <c r="Q53" s="136"/>
      <c r="R53" s="136"/>
      <c r="S53" s="136"/>
      <c r="T53" s="136"/>
      <c r="U53" s="136"/>
      <c r="V53" s="136"/>
      <c r="W53" s="136"/>
      <c r="X53" s="136"/>
      <c r="Y53" s="136"/>
      <c r="Z53" s="136"/>
      <c r="AA53" s="136"/>
      <c r="AB53" s="136"/>
      <c r="AC53" s="136"/>
      <c r="AD53" s="136"/>
      <c r="AE53" s="136"/>
      <c r="AF53" s="136"/>
      <c r="AG53" s="136"/>
      <c r="AH53" s="154"/>
      <c r="AI53" s="139"/>
    </row>
    <row r="54" spans="1:36" s="55" customFormat="1" ht="11.65" customHeight="1">
      <c r="A54" s="92" t="s">
        <v>95</v>
      </c>
      <c r="B54" s="134">
        <f>K22</f>
        <v>0.02</v>
      </c>
      <c r="C54" s="149">
        <f>AVERAGE(E54:AH54)</f>
        <v>1.2933009726037994</v>
      </c>
      <c r="D54" s="99"/>
      <c r="E54" s="99">
        <f t="shared" ref="E54:AH54" si="31">E33*E63</f>
        <v>3.6951456359999995</v>
      </c>
      <c r="F54" s="99">
        <f t="shared" si="31"/>
        <v>3.5103883541999994</v>
      </c>
      <c r="G54" s="99">
        <f t="shared" si="31"/>
        <v>3.3256310723999998</v>
      </c>
      <c r="H54" s="99">
        <f t="shared" si="31"/>
        <v>3.1408737906000002</v>
      </c>
      <c r="I54" s="99">
        <f t="shared" si="31"/>
        <v>2.9561165088000001</v>
      </c>
      <c r="J54" s="99">
        <f t="shared" si="31"/>
        <v>2.7713592270000005</v>
      </c>
      <c r="K54" s="99">
        <f t="shared" si="31"/>
        <v>2.5866019452000009</v>
      </c>
      <c r="L54" s="99">
        <f t="shared" si="31"/>
        <v>2.4018446634000008</v>
      </c>
      <c r="M54" s="99">
        <f t="shared" si="31"/>
        <v>2.2170873816000007</v>
      </c>
      <c r="N54" s="99">
        <f t="shared" si="31"/>
        <v>2.0323300998000007</v>
      </c>
      <c r="O54" s="99">
        <f t="shared" si="31"/>
        <v>1.8475728180000004</v>
      </c>
      <c r="P54" s="99">
        <f t="shared" si="31"/>
        <v>1.6628155362000003</v>
      </c>
      <c r="Q54" s="99">
        <f t="shared" si="31"/>
        <v>1.4780582544000003</v>
      </c>
      <c r="R54" s="99">
        <f t="shared" si="31"/>
        <v>1.2933009726000004</v>
      </c>
      <c r="S54" s="99">
        <f t="shared" si="31"/>
        <v>1.1085436908000004</v>
      </c>
      <c r="T54" s="99">
        <f t="shared" si="31"/>
        <v>0.9237864090000002</v>
      </c>
      <c r="U54" s="99">
        <f t="shared" si="31"/>
        <v>0.73902912720000014</v>
      </c>
      <c r="V54" s="99">
        <f t="shared" si="31"/>
        <v>0.55427184540000018</v>
      </c>
      <c r="W54" s="99">
        <f t="shared" si="31"/>
        <v>0.36951456360000023</v>
      </c>
      <c r="X54" s="99">
        <f t="shared" si="31"/>
        <v>0.18475728180000026</v>
      </c>
      <c r="Y54" s="99">
        <f t="shared" si="31"/>
        <v>1.1652900866465643E-11</v>
      </c>
      <c r="Z54" s="99">
        <f t="shared" si="31"/>
        <v>1.1596057447604835E-11</v>
      </c>
      <c r="AA54" s="99">
        <f t="shared" si="31"/>
        <v>1.1539214028744027E-11</v>
      </c>
      <c r="AB54" s="99">
        <f t="shared" si="31"/>
        <v>1.1482370609883219E-11</v>
      </c>
      <c r="AC54" s="99">
        <f t="shared" si="31"/>
        <v>1.1425527191022411E-11</v>
      </c>
      <c r="AD54" s="99">
        <f t="shared" si="31"/>
        <v>1.1368683772161603E-11</v>
      </c>
      <c r="AE54" s="99">
        <f t="shared" si="31"/>
        <v>1.1311840353300795E-11</v>
      </c>
      <c r="AF54" s="99">
        <f t="shared" si="31"/>
        <v>1.1254996934439987E-11</v>
      </c>
      <c r="AG54" s="99">
        <f t="shared" si="31"/>
        <v>1.1198153515579179E-11</v>
      </c>
      <c r="AH54" s="102">
        <f t="shared" si="31"/>
        <v>1.1141310096718371E-11</v>
      </c>
      <c r="AI54" s="133">
        <f>SUM(E55:AH55)*-1</f>
        <v>0</v>
      </c>
    </row>
    <row r="55" spans="1:36">
      <c r="A55" s="92" t="s">
        <v>96</v>
      </c>
      <c r="B55" s="113"/>
      <c r="C55" s="125"/>
      <c r="D55" s="99"/>
      <c r="E55" s="105">
        <v>0</v>
      </c>
      <c r="F55" s="105">
        <f>E55</f>
        <v>0</v>
      </c>
      <c r="G55" s="105">
        <f t="shared" ref="G55:AH55" si="32">F55</f>
        <v>0</v>
      </c>
      <c r="H55" s="105">
        <f t="shared" si="32"/>
        <v>0</v>
      </c>
      <c r="I55" s="105">
        <f t="shared" si="32"/>
        <v>0</v>
      </c>
      <c r="J55" s="105">
        <f t="shared" si="32"/>
        <v>0</v>
      </c>
      <c r="K55" s="105">
        <f t="shared" si="32"/>
        <v>0</v>
      </c>
      <c r="L55" s="105">
        <f t="shared" si="32"/>
        <v>0</v>
      </c>
      <c r="M55" s="105">
        <f t="shared" si="32"/>
        <v>0</v>
      </c>
      <c r="N55" s="105">
        <f t="shared" si="32"/>
        <v>0</v>
      </c>
      <c r="O55" s="105">
        <f t="shared" si="32"/>
        <v>0</v>
      </c>
      <c r="P55" s="105">
        <f t="shared" si="32"/>
        <v>0</v>
      </c>
      <c r="Q55" s="105">
        <f t="shared" si="32"/>
        <v>0</v>
      </c>
      <c r="R55" s="105">
        <f>Q55</f>
        <v>0</v>
      </c>
      <c r="S55" s="105">
        <f t="shared" si="32"/>
        <v>0</v>
      </c>
      <c r="T55" s="105">
        <f t="shared" si="32"/>
        <v>0</v>
      </c>
      <c r="U55" s="105">
        <f t="shared" si="32"/>
        <v>0</v>
      </c>
      <c r="V55" s="105">
        <f t="shared" si="32"/>
        <v>0</v>
      </c>
      <c r="W55" s="105">
        <f t="shared" si="32"/>
        <v>0</v>
      </c>
      <c r="X55" s="105">
        <f t="shared" si="32"/>
        <v>0</v>
      </c>
      <c r="Y55" s="105">
        <f>X55</f>
        <v>0</v>
      </c>
      <c r="Z55" s="105">
        <f t="shared" si="32"/>
        <v>0</v>
      </c>
      <c r="AA55" s="105">
        <f t="shared" si="32"/>
        <v>0</v>
      </c>
      <c r="AB55" s="105">
        <f t="shared" si="32"/>
        <v>0</v>
      </c>
      <c r="AC55" s="105">
        <f t="shared" si="32"/>
        <v>0</v>
      </c>
      <c r="AD55" s="105">
        <f t="shared" si="32"/>
        <v>0</v>
      </c>
      <c r="AE55" s="105">
        <f t="shared" si="32"/>
        <v>0</v>
      </c>
      <c r="AF55" s="105">
        <f t="shared" si="32"/>
        <v>0</v>
      </c>
      <c r="AG55" s="105">
        <f t="shared" si="32"/>
        <v>0</v>
      </c>
      <c r="AH55" s="156">
        <f t="shared" si="32"/>
        <v>0</v>
      </c>
      <c r="AI55" s="103"/>
    </row>
    <row r="56" spans="1:36" ht="5.25" customHeight="1">
      <c r="A56" s="136"/>
      <c r="B56" s="153"/>
      <c r="C56" s="125"/>
      <c r="D56" s="136"/>
      <c r="E56" s="136"/>
      <c r="F56" s="136"/>
      <c r="G56" s="136"/>
      <c r="H56" s="136"/>
      <c r="I56" s="136"/>
      <c r="J56" s="136"/>
      <c r="K56" s="136"/>
      <c r="L56" s="136"/>
      <c r="M56" s="136"/>
      <c r="N56" s="136"/>
      <c r="O56" s="136"/>
      <c r="P56" s="136"/>
      <c r="Q56" s="136"/>
      <c r="R56" s="136"/>
      <c r="S56" s="136"/>
      <c r="T56" s="136"/>
      <c r="U56" s="136"/>
      <c r="V56" s="136"/>
      <c r="W56" s="136"/>
      <c r="X56" s="136"/>
      <c r="Y56" s="136"/>
      <c r="Z56" s="136"/>
      <c r="AA56" s="136"/>
      <c r="AB56" s="136"/>
      <c r="AC56" s="136"/>
      <c r="AD56" s="136"/>
      <c r="AE56" s="136"/>
      <c r="AF56" s="136"/>
      <c r="AG56" s="136"/>
      <c r="AH56" s="154"/>
      <c r="AI56" s="139"/>
    </row>
    <row r="57" spans="1:36" s="55" customFormat="1" ht="13.9" customHeight="1">
      <c r="A57" s="147" t="s">
        <v>179</v>
      </c>
      <c r="B57" s="148"/>
      <c r="C57" s="157">
        <f>SUM(E57:AH57)/B20</f>
        <v>-3218.6679660592795</v>
      </c>
      <c r="D57" s="147"/>
      <c r="E57" s="147">
        <f>E52-E54-E55</f>
        <v>-2996.8196995259996</v>
      </c>
      <c r="F57" s="147">
        <f t="shared" ref="F57:AH57" si="33">F52-F54-F55</f>
        <v>-3011.6725534861489</v>
      </c>
      <c r="G57" s="147">
        <f t="shared" si="33"/>
        <v>-3026.6011533694282</v>
      </c>
      <c r="H57" s="147">
        <f t="shared" si="33"/>
        <v>-3041.6058753784123</v>
      </c>
      <c r="I57" s="147">
        <f t="shared" si="33"/>
        <v>-3056.6870975961242</v>
      </c>
      <c r="J57" s="147">
        <f t="shared" si="33"/>
        <v>-3071.84519999544</v>
      </c>
      <c r="K57" s="147">
        <f t="shared" si="33"/>
        <v>-3087.0805644485276</v>
      </c>
      <c r="L57" s="147">
        <f t="shared" si="33"/>
        <v>-3102.3935747363453</v>
      </c>
      <c r="M57" s="147">
        <f t="shared" si="33"/>
        <v>-3117.7846165581782</v>
      </c>
      <c r="N57" s="147">
        <f t="shared" si="33"/>
        <v>-3133.2540775412285</v>
      </c>
      <c r="O57" s="147">
        <f t="shared" si="33"/>
        <v>-3148.8023472502491</v>
      </c>
      <c r="P57" s="147">
        <f t="shared" si="33"/>
        <v>-3164.42981719723</v>
      </c>
      <c r="Q57" s="147">
        <f t="shared" si="33"/>
        <v>-3180.1368808511279</v>
      </c>
      <c r="R57" s="147">
        <f t="shared" si="33"/>
        <v>-3195.9239336476489</v>
      </c>
      <c r="S57" s="147">
        <f t="shared" si="33"/>
        <v>-3211.7913729990787</v>
      </c>
      <c r="T57" s="147">
        <f t="shared" si="33"/>
        <v>-3227.7395983041588</v>
      </c>
      <c r="U57" s="147">
        <f t="shared" si="33"/>
        <v>-3243.7690109580203</v>
      </c>
      <c r="V57" s="147">
        <f t="shared" si="33"/>
        <v>-3259.8800143621565</v>
      </c>
      <c r="W57" s="147">
        <f t="shared" si="33"/>
        <v>-3276.0730139344523</v>
      </c>
      <c r="X57" s="147">
        <f t="shared" si="33"/>
        <v>-3292.3484171192636</v>
      </c>
      <c r="Y57" s="147">
        <f t="shared" si="33"/>
        <v>-3295.5096846975562</v>
      </c>
      <c r="Z57" s="147">
        <f t="shared" si="33"/>
        <v>-3312.1358828788389</v>
      </c>
      <c r="AA57" s="147">
        <f t="shared" si="33"/>
        <v>-3328.8457192660617</v>
      </c>
      <c r="AB57" s="147">
        <f t="shared" si="33"/>
        <v>-3345.6396095112527</v>
      </c>
      <c r="AC57" s="147">
        <f t="shared" si="33"/>
        <v>-3362.5179713440598</v>
      </c>
      <c r="AD57" s="147">
        <f t="shared" si="33"/>
        <v>-3379.4812245821354</v>
      </c>
      <c r="AE57" s="147">
        <f t="shared" si="33"/>
        <v>-3396.5297911415732</v>
      </c>
      <c r="AF57" s="147">
        <f t="shared" si="33"/>
        <v>-3413.6640950473952</v>
      </c>
      <c r="AG57" s="147">
        <f t="shared" si="33"/>
        <v>-3430.8845624440924</v>
      </c>
      <c r="AH57" s="152">
        <f t="shared" si="33"/>
        <v>-3448.1916216062182</v>
      </c>
      <c r="AI57" s="139"/>
    </row>
    <row r="58" spans="1:36" s="55" customFormat="1" ht="8.65" customHeight="1">
      <c r="A58" s="158"/>
      <c r="B58" s="159"/>
      <c r="C58" s="158"/>
      <c r="D58" s="158"/>
      <c r="E58" s="158"/>
      <c r="F58" s="158"/>
      <c r="G58" s="158"/>
      <c r="H58" s="158"/>
      <c r="I58" s="158"/>
      <c r="J58" s="158"/>
      <c r="K58" s="158"/>
      <c r="L58" s="158"/>
      <c r="M58" s="158"/>
      <c r="N58" s="158"/>
      <c r="O58" s="158"/>
      <c r="P58" s="158"/>
      <c r="Q58" s="158"/>
      <c r="R58" s="158"/>
      <c r="S58" s="158"/>
      <c r="T58" s="158"/>
      <c r="U58" s="158"/>
      <c r="V58" s="158"/>
      <c r="W58" s="158"/>
      <c r="X58" s="158"/>
      <c r="Y58" s="158"/>
      <c r="Z58" s="158"/>
      <c r="AA58" s="158"/>
      <c r="AB58" s="158"/>
      <c r="AC58" s="158"/>
      <c r="AD58" s="158"/>
      <c r="AE58" s="158"/>
      <c r="AF58" s="158"/>
      <c r="AG58" s="158"/>
      <c r="AH58" s="160" t="s">
        <v>97</v>
      </c>
      <c r="AI58" s="139">
        <f>B16</f>
        <v>0</v>
      </c>
    </row>
    <row r="59" spans="1:36" s="55" customFormat="1" ht="20.65" thickBot="1">
      <c r="A59" s="161" t="s">
        <v>98</v>
      </c>
      <c r="B59" s="159"/>
      <c r="C59" s="162">
        <f>C57/B17</f>
        <v>-40.649143465252692</v>
      </c>
      <c r="D59" s="158"/>
      <c r="E59" s="158"/>
      <c r="F59" s="158"/>
      <c r="G59" s="158"/>
      <c r="H59" s="158"/>
      <c r="I59" s="158"/>
      <c r="J59" s="158"/>
      <c r="K59" s="158"/>
      <c r="L59" s="158"/>
      <c r="M59" s="158"/>
      <c r="N59" s="158"/>
      <c r="O59" s="158"/>
      <c r="P59" s="158"/>
      <c r="Q59" s="158"/>
      <c r="R59" s="158"/>
      <c r="S59" s="158"/>
      <c r="T59" s="158"/>
      <c r="U59" s="158"/>
      <c r="V59" s="158"/>
      <c r="W59" s="158"/>
      <c r="X59" s="158"/>
      <c r="Y59" s="158"/>
      <c r="Z59" s="158"/>
      <c r="AA59" s="158"/>
      <c r="AB59" s="158"/>
      <c r="AC59" s="163"/>
      <c r="AD59" s="163"/>
      <c r="AE59" s="163"/>
      <c r="AF59" s="163"/>
      <c r="AG59" s="163"/>
      <c r="AH59" s="164" t="s">
        <v>99</v>
      </c>
      <c r="AI59" s="165">
        <f>SUM(AI26:AI58)</f>
        <v>-96662.640034347496</v>
      </c>
    </row>
    <row r="60" spans="1:36" s="55" customFormat="1">
      <c r="B60" s="159"/>
      <c r="C60" s="159"/>
      <c r="D60" s="69"/>
      <c r="E60" s="166"/>
      <c r="F60" s="166"/>
      <c r="G60" s="166"/>
      <c r="H60" s="166"/>
      <c r="I60" s="166"/>
      <c r="J60" s="166"/>
      <c r="K60" s="166"/>
      <c r="L60" s="166"/>
      <c r="M60" s="166"/>
      <c r="N60" s="166"/>
      <c r="O60" s="166"/>
      <c r="P60" s="166"/>
      <c r="Q60" s="166"/>
      <c r="R60" s="166"/>
      <c r="S60" s="166"/>
      <c r="T60" s="166"/>
      <c r="U60" s="166"/>
      <c r="V60" s="166"/>
      <c r="W60" s="166"/>
      <c r="X60" s="166"/>
      <c r="Y60" s="166"/>
      <c r="Z60" s="166"/>
      <c r="AA60" s="166"/>
      <c r="AB60" s="166"/>
      <c r="AC60" s="166"/>
      <c r="AD60" s="166"/>
      <c r="AE60" s="166"/>
      <c r="AF60" s="166"/>
      <c r="AG60" s="166"/>
      <c r="AH60" s="167" t="s">
        <v>100</v>
      </c>
      <c r="AI60" s="69">
        <f>AI27+AI54+AI44</f>
        <v>-97103.988711207494</v>
      </c>
    </row>
    <row r="61" spans="1:36">
      <c r="A61" s="78" t="s">
        <v>186</v>
      </c>
      <c r="B61" s="168"/>
      <c r="C61" s="168"/>
      <c r="D61" s="169"/>
      <c r="E61" s="170"/>
      <c r="F61" s="170"/>
      <c r="G61" s="170"/>
      <c r="H61" s="170"/>
      <c r="I61" s="170"/>
      <c r="J61" s="170"/>
      <c r="K61" s="170"/>
      <c r="L61" s="170"/>
      <c r="M61" s="170"/>
      <c r="N61" s="170"/>
      <c r="O61" s="170"/>
      <c r="P61" s="170"/>
      <c r="Q61" s="170"/>
      <c r="R61" s="170"/>
      <c r="S61" s="170"/>
      <c r="T61" s="170"/>
      <c r="U61" s="170"/>
      <c r="V61" s="170"/>
      <c r="W61" s="170"/>
      <c r="X61" s="170"/>
      <c r="Y61" s="170"/>
      <c r="Z61" s="170"/>
      <c r="AA61" s="170"/>
      <c r="AB61" s="170"/>
      <c r="AC61" s="170"/>
      <c r="AD61" s="170"/>
      <c r="AE61" s="170"/>
      <c r="AF61" s="170"/>
      <c r="AG61" s="170"/>
      <c r="AH61" s="171" t="s">
        <v>101</v>
      </c>
      <c r="AI61" s="20">
        <f>AI60/AJ35*-1</f>
        <v>114.41390104439225</v>
      </c>
    </row>
    <row r="62" spans="1:36">
      <c r="A62" s="172"/>
      <c r="B62" s="173"/>
      <c r="C62" s="173"/>
      <c r="D62" s="99"/>
      <c r="E62" s="134"/>
      <c r="F62" s="134"/>
      <c r="G62" s="134"/>
      <c r="H62" s="134"/>
      <c r="I62" s="134"/>
      <c r="J62" s="134"/>
      <c r="K62" s="134"/>
      <c r="L62" s="134"/>
      <c r="M62" s="134"/>
      <c r="N62" s="134"/>
      <c r="O62" s="134"/>
      <c r="P62" s="134"/>
      <c r="Q62" s="134"/>
      <c r="R62" s="134"/>
      <c r="S62" s="134"/>
      <c r="T62" s="134"/>
      <c r="U62" s="134"/>
      <c r="V62" s="134"/>
      <c r="W62" s="134"/>
      <c r="X62" s="134"/>
      <c r="Y62" s="134"/>
      <c r="Z62" s="134"/>
      <c r="AA62" s="134"/>
      <c r="AB62" s="134"/>
      <c r="AC62" s="174"/>
      <c r="AD62" s="174"/>
      <c r="AE62" s="174"/>
      <c r="AF62" s="174"/>
      <c r="AG62" s="174"/>
      <c r="AH62" s="174"/>
      <c r="AJ62" s="20" t="s">
        <v>79</v>
      </c>
    </row>
    <row r="63" spans="1:36">
      <c r="A63" s="92" t="s">
        <v>102</v>
      </c>
      <c r="B63" s="100"/>
      <c r="C63" s="100"/>
      <c r="D63" s="151"/>
      <c r="E63" s="99">
        <f>B18</f>
        <v>184.75728179999996</v>
      </c>
      <c r="F63" s="99">
        <f t="shared" ref="F63:AH63" si="34">E63-E64</f>
        <v>175.51941770999997</v>
      </c>
      <c r="G63" s="99">
        <f t="shared" si="34"/>
        <v>166.28155361999998</v>
      </c>
      <c r="H63" s="99">
        <f t="shared" si="34"/>
        <v>157.04368952999999</v>
      </c>
      <c r="I63" s="99">
        <f t="shared" si="34"/>
        <v>147.80582544000001</v>
      </c>
      <c r="J63" s="99">
        <f t="shared" si="34"/>
        <v>138.56796135000002</v>
      </c>
      <c r="K63" s="99">
        <f t="shared" si="34"/>
        <v>129.33009726000003</v>
      </c>
      <c r="L63" s="99">
        <f t="shared" si="34"/>
        <v>120.09223317000003</v>
      </c>
      <c r="M63" s="99">
        <f t="shared" si="34"/>
        <v>110.85436908000003</v>
      </c>
      <c r="N63" s="99">
        <f t="shared" si="34"/>
        <v>101.61650499000002</v>
      </c>
      <c r="O63" s="99">
        <f t="shared" si="34"/>
        <v>92.378640900000022</v>
      </c>
      <c r="P63" s="99">
        <f t="shared" si="34"/>
        <v>83.14077681000002</v>
      </c>
      <c r="Q63" s="99">
        <f t="shared" si="34"/>
        <v>73.902912720000018</v>
      </c>
      <c r="R63" s="99">
        <f>Q63-Q64</f>
        <v>64.665048630000015</v>
      </c>
      <c r="S63" s="99">
        <f t="shared" si="34"/>
        <v>55.427184540000013</v>
      </c>
      <c r="T63" s="99">
        <f t="shared" si="34"/>
        <v>46.189320450000011</v>
      </c>
      <c r="U63" s="99">
        <f t="shared" si="34"/>
        <v>36.951456360000009</v>
      </c>
      <c r="V63" s="99">
        <f t="shared" si="34"/>
        <v>27.71359227000001</v>
      </c>
      <c r="W63" s="99">
        <f t="shared" si="34"/>
        <v>18.475728180000011</v>
      </c>
      <c r="X63" s="99">
        <f t="shared" si="34"/>
        <v>9.2378640900000129</v>
      </c>
      <c r="Y63" s="99">
        <f>X63-X64</f>
        <v>1.4210854715202004E-14</v>
      </c>
      <c r="Z63" s="99">
        <f t="shared" si="34"/>
        <v>1.4210854715202004E-14</v>
      </c>
      <c r="AA63" s="99">
        <f t="shared" si="34"/>
        <v>1.4210854715202004E-14</v>
      </c>
      <c r="AB63" s="99">
        <f t="shared" si="34"/>
        <v>1.4210854715202004E-14</v>
      </c>
      <c r="AC63" s="99">
        <f t="shared" si="34"/>
        <v>1.4210854715202004E-14</v>
      </c>
      <c r="AD63" s="99">
        <f t="shared" si="34"/>
        <v>1.4210854715202004E-14</v>
      </c>
      <c r="AE63" s="99">
        <f t="shared" si="34"/>
        <v>1.4210854715202004E-14</v>
      </c>
      <c r="AF63" s="99">
        <f t="shared" si="34"/>
        <v>1.4210854715202004E-14</v>
      </c>
      <c r="AG63" s="99">
        <f t="shared" si="34"/>
        <v>1.4210854715202004E-14</v>
      </c>
      <c r="AH63" s="99">
        <f t="shared" si="34"/>
        <v>1.4210854715202004E-14</v>
      </c>
    </row>
    <row r="64" spans="1:36">
      <c r="A64" s="130" t="s">
        <v>103</v>
      </c>
      <c r="B64" s="175"/>
      <c r="C64" s="175"/>
      <c r="D64" s="151"/>
      <c r="E64" s="99">
        <f t="shared" ref="E64:AH64" si="35">IF($B22&gt;D26,$B$18/$B22,0)</f>
        <v>9.2378640899999986</v>
      </c>
      <c r="F64" s="99">
        <f t="shared" si="35"/>
        <v>9.2378640899999986</v>
      </c>
      <c r="G64" s="99">
        <f t="shared" si="35"/>
        <v>9.2378640899999986</v>
      </c>
      <c r="H64" s="99">
        <f t="shared" si="35"/>
        <v>9.2378640899999986</v>
      </c>
      <c r="I64" s="99">
        <f t="shared" si="35"/>
        <v>9.2378640899999986</v>
      </c>
      <c r="J64" s="99">
        <f t="shared" si="35"/>
        <v>9.2378640899999986</v>
      </c>
      <c r="K64" s="99">
        <f t="shared" si="35"/>
        <v>9.2378640899999986</v>
      </c>
      <c r="L64" s="99">
        <f t="shared" si="35"/>
        <v>9.2378640899999986</v>
      </c>
      <c r="M64" s="99">
        <f t="shared" si="35"/>
        <v>9.2378640899999986</v>
      </c>
      <c r="N64" s="99">
        <f t="shared" si="35"/>
        <v>9.2378640899999986</v>
      </c>
      <c r="O64" s="99">
        <f t="shared" si="35"/>
        <v>9.2378640899999986</v>
      </c>
      <c r="P64" s="99">
        <f t="shared" si="35"/>
        <v>9.2378640899999986</v>
      </c>
      <c r="Q64" s="99">
        <f t="shared" si="35"/>
        <v>9.2378640899999986</v>
      </c>
      <c r="R64" s="99">
        <f t="shared" si="35"/>
        <v>9.2378640899999986</v>
      </c>
      <c r="S64" s="99">
        <f t="shared" si="35"/>
        <v>9.2378640899999986</v>
      </c>
      <c r="T64" s="99">
        <f t="shared" si="35"/>
        <v>9.2378640899999986</v>
      </c>
      <c r="U64" s="99">
        <f t="shared" si="35"/>
        <v>9.2378640899999986</v>
      </c>
      <c r="V64" s="99">
        <f t="shared" si="35"/>
        <v>9.2378640899999986</v>
      </c>
      <c r="W64" s="99">
        <f t="shared" si="35"/>
        <v>9.2378640899999986</v>
      </c>
      <c r="X64" s="99">
        <f t="shared" si="35"/>
        <v>9.2378640899999986</v>
      </c>
      <c r="Y64" s="99">
        <f t="shared" si="35"/>
        <v>0</v>
      </c>
      <c r="Z64" s="99">
        <f t="shared" si="35"/>
        <v>0</v>
      </c>
      <c r="AA64" s="99">
        <f t="shared" si="35"/>
        <v>0</v>
      </c>
      <c r="AB64" s="99">
        <f t="shared" si="35"/>
        <v>0</v>
      </c>
      <c r="AC64" s="99">
        <f t="shared" si="35"/>
        <v>0</v>
      </c>
      <c r="AD64" s="99">
        <f t="shared" si="35"/>
        <v>0</v>
      </c>
      <c r="AE64" s="99">
        <f t="shared" si="35"/>
        <v>0</v>
      </c>
      <c r="AF64" s="99">
        <f t="shared" si="35"/>
        <v>0</v>
      </c>
      <c r="AG64" s="99">
        <f t="shared" si="35"/>
        <v>0</v>
      </c>
      <c r="AH64" s="99">
        <f t="shared" si="35"/>
        <v>0</v>
      </c>
    </row>
    <row r="65" spans="1:34">
      <c r="A65" s="92"/>
      <c r="B65" s="100"/>
      <c r="C65" s="100"/>
      <c r="D65" s="151"/>
      <c r="E65" s="99" t="s">
        <v>104</v>
      </c>
      <c r="F65" s="99"/>
      <c r="G65" s="99"/>
      <c r="H65" s="99"/>
      <c r="I65" s="99"/>
      <c r="J65" s="99"/>
      <c r="K65" s="99"/>
      <c r="L65" s="151"/>
      <c r="M65" s="99"/>
      <c r="N65" s="99"/>
      <c r="O65" s="99"/>
      <c r="P65" s="99"/>
      <c r="Q65" s="99"/>
      <c r="R65" s="99"/>
      <c r="S65" s="151"/>
      <c r="T65" s="99"/>
      <c r="U65" s="99"/>
      <c r="V65" s="99"/>
      <c r="W65" s="99"/>
      <c r="X65" s="99"/>
      <c r="Y65" s="99"/>
      <c r="Z65" s="99"/>
      <c r="AA65" s="99"/>
      <c r="AB65" s="99"/>
      <c r="AC65" s="99"/>
      <c r="AD65" s="99"/>
      <c r="AE65" s="99"/>
      <c r="AF65" s="99"/>
      <c r="AG65" s="99"/>
      <c r="AH65" s="99"/>
    </row>
    <row r="66" spans="1:34">
      <c r="A66" s="92" t="s">
        <v>105</v>
      </c>
      <c r="B66" s="100"/>
      <c r="C66" s="100"/>
      <c r="D66" s="151"/>
      <c r="E66" s="99">
        <f>-E63</f>
        <v>-184.75728179999996</v>
      </c>
      <c r="F66" s="99">
        <f>E66+E64+E57</f>
        <v>-3172.3391172359998</v>
      </c>
      <c r="G66" s="99">
        <f t="shared" ref="G66:AH66" si="36">F66+F64+F57</f>
        <v>-6174.773806632149</v>
      </c>
      <c r="H66" s="99">
        <f t="shared" si="36"/>
        <v>-9192.1370959115775</v>
      </c>
      <c r="I66" s="99">
        <f t="shared" si="36"/>
        <v>-12224.50510719999</v>
      </c>
      <c r="J66" s="99">
        <f t="shared" si="36"/>
        <v>-15271.954340706114</v>
      </c>
      <c r="K66" s="99">
        <f t="shared" si="36"/>
        <v>-18334.561676611553</v>
      </c>
      <c r="L66" s="99">
        <f t="shared" si="36"/>
        <v>-21412.40437697008</v>
      </c>
      <c r="M66" s="99">
        <f t="shared" si="36"/>
        <v>-24505.560087616428</v>
      </c>
      <c r="N66" s="99">
        <f t="shared" si="36"/>
        <v>-27614.106840084609</v>
      </c>
      <c r="O66" s="99">
        <f t="shared" si="36"/>
        <v>-30738.123053535837</v>
      </c>
      <c r="P66" s="99">
        <f t="shared" si="36"/>
        <v>-33877.687536696089</v>
      </c>
      <c r="Q66" s="99">
        <f t="shared" si="36"/>
        <v>-37032.879489803323</v>
      </c>
      <c r="R66" s="99">
        <f>Q66+Q64+Q57</f>
        <v>-40203.778506564449</v>
      </c>
      <c r="S66" s="99">
        <f t="shared" si="36"/>
        <v>-43390.464576122096</v>
      </c>
      <c r="T66" s="99">
        <f t="shared" si="36"/>
        <v>-46593.018085031174</v>
      </c>
      <c r="U66" s="99">
        <f t="shared" si="36"/>
        <v>-49811.519819245332</v>
      </c>
      <c r="V66" s="99">
        <f t="shared" si="36"/>
        <v>-53046.050966113355</v>
      </c>
      <c r="W66" s="99">
        <f t="shared" si="36"/>
        <v>-56296.693116385512</v>
      </c>
      <c r="X66" s="99">
        <f t="shared" si="36"/>
        <v>-59563.528266229965</v>
      </c>
      <c r="Y66" s="99">
        <f>X66+X64+X57</f>
        <v>-62846.638819259228</v>
      </c>
      <c r="Z66" s="99">
        <f t="shared" si="36"/>
        <v>-66142.148503956778</v>
      </c>
      <c r="AA66" s="99">
        <f t="shared" si="36"/>
        <v>-69454.284386835614</v>
      </c>
      <c r="AB66" s="99">
        <f t="shared" si="36"/>
        <v>-72783.130106101671</v>
      </c>
      <c r="AC66" s="99">
        <f t="shared" si="36"/>
        <v>-76128.769715612929</v>
      </c>
      <c r="AD66" s="99">
        <f t="shared" si="36"/>
        <v>-79491.287686956988</v>
      </c>
      <c r="AE66" s="99">
        <f t="shared" si="36"/>
        <v>-82870.768911539126</v>
      </c>
      <c r="AF66" s="99">
        <f t="shared" si="36"/>
        <v>-86267.298702680695</v>
      </c>
      <c r="AG66" s="99">
        <f t="shared" si="36"/>
        <v>-89680.962797728091</v>
      </c>
      <c r="AH66" s="99">
        <f t="shared" si="36"/>
        <v>-93111.847360172178</v>
      </c>
    </row>
    <row r="67" spans="1:34">
      <c r="A67" s="92" t="s">
        <v>106</v>
      </c>
      <c r="B67" s="100"/>
      <c r="C67" s="100"/>
      <c r="D67" s="151"/>
      <c r="E67" s="99"/>
      <c r="F67" s="99"/>
      <c r="G67" s="99"/>
      <c r="H67" s="99"/>
      <c r="I67" s="99"/>
      <c r="J67" s="99"/>
      <c r="K67" s="99"/>
      <c r="L67" s="99"/>
      <c r="M67" s="99"/>
      <c r="N67" s="99"/>
      <c r="O67" s="99"/>
      <c r="P67" s="99"/>
      <c r="Q67" s="99"/>
      <c r="R67" s="99"/>
      <c r="S67" s="99"/>
      <c r="T67" s="99"/>
      <c r="U67" s="99"/>
      <c r="V67" s="99"/>
      <c r="W67" s="99"/>
      <c r="X67" s="99"/>
      <c r="Y67" s="99"/>
      <c r="Z67" s="99"/>
      <c r="AA67" s="99"/>
      <c r="AB67" s="99"/>
      <c r="AC67" s="99"/>
      <c r="AD67" s="99"/>
      <c r="AE67" s="99"/>
      <c r="AF67" s="99"/>
      <c r="AG67" s="99"/>
      <c r="AH67" s="99"/>
    </row>
    <row r="68" spans="1:34">
      <c r="A68" s="92" t="s">
        <v>107</v>
      </c>
      <c r="B68" s="100"/>
      <c r="C68" s="100"/>
      <c r="D68" s="99"/>
      <c r="E68" s="99">
        <f>B15-E50</f>
        <v>250.74202529999997</v>
      </c>
      <c r="F68" s="99">
        <f t="shared" ref="F68:AH68" si="37">E68-F50</f>
        <v>237.54507659999996</v>
      </c>
      <c r="G68" s="99">
        <f t="shared" si="37"/>
        <v>224.34812789999995</v>
      </c>
      <c r="H68" s="99">
        <f t="shared" si="37"/>
        <v>211.15117919999994</v>
      </c>
      <c r="I68" s="99">
        <f t="shared" si="37"/>
        <v>197.95423049999994</v>
      </c>
      <c r="J68" s="99">
        <f t="shared" si="37"/>
        <v>184.75728179999993</v>
      </c>
      <c r="K68" s="99">
        <f t="shared" si="37"/>
        <v>171.56033309999992</v>
      </c>
      <c r="L68" s="99">
        <f t="shared" si="37"/>
        <v>158.36338439999992</v>
      </c>
      <c r="M68" s="99">
        <f t="shared" si="37"/>
        <v>145.16643569999991</v>
      </c>
      <c r="N68" s="99">
        <f t="shared" si="37"/>
        <v>131.9694869999999</v>
      </c>
      <c r="O68" s="99">
        <f t="shared" si="37"/>
        <v>118.77253829999991</v>
      </c>
      <c r="P68" s="99">
        <f t="shared" si="37"/>
        <v>105.57558959999992</v>
      </c>
      <c r="Q68" s="99">
        <f t="shared" si="37"/>
        <v>92.378640899999922</v>
      </c>
      <c r="R68" s="99">
        <f>Q68-R50</f>
        <v>79.181692199999929</v>
      </c>
      <c r="S68" s="99">
        <f t="shared" si="37"/>
        <v>65.984743499999936</v>
      </c>
      <c r="T68" s="99">
        <f t="shared" si="37"/>
        <v>52.787794799999936</v>
      </c>
      <c r="U68" s="99">
        <f t="shared" si="37"/>
        <v>39.590846099999936</v>
      </c>
      <c r="V68" s="99">
        <f t="shared" si="37"/>
        <v>26.393897399999936</v>
      </c>
      <c r="W68" s="99">
        <f t="shared" si="37"/>
        <v>13.196948699999938</v>
      </c>
      <c r="X68" s="99">
        <f t="shared" si="37"/>
        <v>-6.0396132539608516E-14</v>
      </c>
      <c r="Y68" s="99">
        <f>X68-Y50</f>
        <v>-6.0396132539608516E-14</v>
      </c>
      <c r="Z68" s="99">
        <f t="shared" si="37"/>
        <v>-6.0396132539608516E-14</v>
      </c>
      <c r="AA68" s="99">
        <f t="shared" si="37"/>
        <v>-6.0396132539608516E-14</v>
      </c>
      <c r="AB68" s="99">
        <f t="shared" si="37"/>
        <v>-6.0396132539608516E-14</v>
      </c>
      <c r="AC68" s="99">
        <f t="shared" si="37"/>
        <v>-6.0396132539608516E-14</v>
      </c>
      <c r="AD68" s="99">
        <f t="shared" si="37"/>
        <v>-6.0396132539608516E-14</v>
      </c>
      <c r="AE68" s="99">
        <f t="shared" si="37"/>
        <v>-6.0396132539608516E-14</v>
      </c>
      <c r="AF68" s="99">
        <f t="shared" si="37"/>
        <v>-6.0396132539608516E-14</v>
      </c>
      <c r="AG68" s="99">
        <f t="shared" si="37"/>
        <v>-6.0396132539608516E-14</v>
      </c>
      <c r="AH68" s="99">
        <f t="shared" si="37"/>
        <v>-6.0396132539608516E-14</v>
      </c>
    </row>
    <row r="69" spans="1:34">
      <c r="A69" s="92" t="s">
        <v>108</v>
      </c>
      <c r="B69" s="99"/>
      <c r="C69" s="99"/>
      <c r="D69" s="99"/>
      <c r="E69" s="99">
        <f>E50</f>
        <v>13.196948699999998</v>
      </c>
      <c r="F69" s="99">
        <f t="shared" ref="F69:AH69" si="38">E69+F50</f>
        <v>26.393897399999997</v>
      </c>
      <c r="G69" s="99">
        <f t="shared" si="38"/>
        <v>39.590846099999993</v>
      </c>
      <c r="H69" s="99">
        <f t="shared" si="38"/>
        <v>52.787794799999993</v>
      </c>
      <c r="I69" s="99">
        <f t="shared" si="38"/>
        <v>65.984743499999993</v>
      </c>
      <c r="J69" s="99">
        <f t="shared" si="38"/>
        <v>79.181692199999986</v>
      </c>
      <c r="K69" s="99">
        <f t="shared" si="38"/>
        <v>92.378640899999979</v>
      </c>
      <c r="L69" s="99">
        <f t="shared" si="38"/>
        <v>105.57558959999997</v>
      </c>
      <c r="M69" s="99">
        <f t="shared" si="38"/>
        <v>118.77253829999997</v>
      </c>
      <c r="N69" s="99">
        <f t="shared" si="38"/>
        <v>131.96948699999996</v>
      </c>
      <c r="O69" s="99">
        <f t="shared" si="38"/>
        <v>145.16643569999997</v>
      </c>
      <c r="P69" s="99">
        <f t="shared" si="38"/>
        <v>158.36338439999997</v>
      </c>
      <c r="Q69" s="99">
        <f t="shared" si="38"/>
        <v>171.56033309999998</v>
      </c>
      <c r="R69" s="99">
        <f>Q69+R50</f>
        <v>184.75728179999999</v>
      </c>
      <c r="S69" s="99">
        <f t="shared" si="38"/>
        <v>197.95423049999999</v>
      </c>
      <c r="T69" s="99">
        <f t="shared" si="38"/>
        <v>211.1511792</v>
      </c>
      <c r="U69" s="99">
        <f t="shared" si="38"/>
        <v>224.34812790000001</v>
      </c>
      <c r="V69" s="99">
        <f t="shared" si="38"/>
        <v>237.54507660000002</v>
      </c>
      <c r="W69" s="99">
        <f t="shared" si="38"/>
        <v>250.74202530000002</v>
      </c>
      <c r="X69" s="99">
        <f t="shared" si="38"/>
        <v>263.93897400000003</v>
      </c>
      <c r="Y69" s="99">
        <f>X69+Y50</f>
        <v>263.93897400000003</v>
      </c>
      <c r="Z69" s="99">
        <f t="shared" si="38"/>
        <v>263.93897400000003</v>
      </c>
      <c r="AA69" s="99">
        <f t="shared" si="38"/>
        <v>263.93897400000003</v>
      </c>
      <c r="AB69" s="99">
        <f t="shared" si="38"/>
        <v>263.93897400000003</v>
      </c>
      <c r="AC69" s="99">
        <f t="shared" si="38"/>
        <v>263.93897400000003</v>
      </c>
      <c r="AD69" s="99">
        <f t="shared" si="38"/>
        <v>263.93897400000003</v>
      </c>
      <c r="AE69" s="99">
        <f t="shared" si="38"/>
        <v>263.93897400000003</v>
      </c>
      <c r="AF69" s="99">
        <f t="shared" si="38"/>
        <v>263.93897400000003</v>
      </c>
      <c r="AG69" s="99">
        <f t="shared" si="38"/>
        <v>263.93897400000003</v>
      </c>
      <c r="AH69" s="99">
        <f t="shared" si="38"/>
        <v>263.93897400000003</v>
      </c>
    </row>
    <row r="70" spans="1:34">
      <c r="A70" s="176"/>
      <c r="B70" s="176"/>
      <c r="C70" s="176"/>
      <c r="D70" s="147"/>
      <c r="E70" s="147"/>
      <c r="F70" s="147"/>
      <c r="G70" s="147"/>
      <c r="H70" s="147"/>
      <c r="I70" s="147"/>
      <c r="J70" s="147"/>
      <c r="K70" s="147"/>
      <c r="L70" s="147"/>
      <c r="M70" s="147"/>
      <c r="N70" s="147"/>
      <c r="O70" s="147"/>
      <c r="P70" s="147"/>
      <c r="Q70" s="147"/>
      <c r="R70" s="147"/>
      <c r="S70" s="147"/>
      <c r="T70" s="147"/>
      <c r="U70" s="147"/>
      <c r="V70" s="147"/>
      <c r="W70" s="147"/>
      <c r="X70" s="147"/>
      <c r="Y70" s="147"/>
      <c r="Z70" s="147"/>
      <c r="AA70" s="147"/>
      <c r="AB70" s="147"/>
      <c r="AC70" s="147"/>
      <c r="AD70" s="147"/>
      <c r="AE70" s="147"/>
      <c r="AF70" s="147"/>
      <c r="AG70" s="147"/>
      <c r="AH70" s="147"/>
    </row>
    <row r="71" spans="1:34">
      <c r="A71" s="177" t="s">
        <v>109</v>
      </c>
      <c r="B71" s="55" t="str">
        <f>A2</f>
        <v>Projektname</v>
      </c>
      <c r="D71" s="158"/>
      <c r="E71" s="158"/>
      <c r="F71" s="158"/>
      <c r="G71" s="158"/>
      <c r="H71" s="158"/>
      <c r="I71" s="158"/>
      <c r="J71" s="158"/>
      <c r="K71" s="158"/>
      <c r="L71" s="158"/>
      <c r="M71" s="158"/>
      <c r="N71" s="158"/>
      <c r="O71" s="158"/>
      <c r="P71" s="158"/>
      <c r="Q71" s="158"/>
      <c r="R71" s="158"/>
      <c r="S71" s="158"/>
      <c r="T71" s="158"/>
      <c r="U71" s="158"/>
      <c r="V71" s="158"/>
      <c r="W71" s="158"/>
      <c r="X71" s="158"/>
      <c r="Y71" s="158"/>
      <c r="Z71" s="158"/>
      <c r="AA71" s="158"/>
      <c r="AB71" s="158"/>
      <c r="AC71" s="158"/>
      <c r="AD71" s="158"/>
      <c r="AE71" s="158"/>
      <c r="AF71" s="158"/>
      <c r="AG71" s="158"/>
      <c r="AH71" s="158"/>
    </row>
    <row r="72" spans="1:34">
      <c r="A72" s="178" t="s">
        <v>110</v>
      </c>
      <c r="B72" s="69">
        <f>B13</f>
        <v>330.22697399999998</v>
      </c>
      <c r="C72" s="179" t="s">
        <v>51</v>
      </c>
      <c r="E72" s="180"/>
      <c r="F72" s="55"/>
      <c r="G72" s="55"/>
      <c r="H72" s="55"/>
      <c r="I72" s="55"/>
      <c r="J72" s="55"/>
      <c r="K72" s="55"/>
      <c r="L72" s="55"/>
      <c r="M72" s="55"/>
      <c r="N72" s="55"/>
      <c r="O72" s="55"/>
      <c r="P72" s="55"/>
      <c r="Q72" s="55"/>
      <c r="R72" s="55"/>
      <c r="S72" s="55"/>
      <c r="T72" s="55"/>
      <c r="U72" s="181"/>
      <c r="V72" s="55"/>
      <c r="W72" s="55"/>
      <c r="X72" s="55"/>
      <c r="Y72" s="55"/>
      <c r="Z72" s="55"/>
      <c r="AA72" s="55"/>
      <c r="AB72" s="55"/>
      <c r="AC72" s="180"/>
      <c r="AD72" s="180"/>
      <c r="AE72" s="180"/>
      <c r="AF72" s="180"/>
      <c r="AG72" s="180"/>
      <c r="AH72" s="180"/>
    </row>
    <row r="73" spans="1:34">
      <c r="A73" s="178" t="s">
        <v>111</v>
      </c>
      <c r="B73" s="69">
        <f>B72-B75</f>
        <v>66.288000000000011</v>
      </c>
      <c r="C73" s="179" t="s">
        <v>51</v>
      </c>
    </row>
    <row r="74" spans="1:34">
      <c r="A74" s="178" t="s">
        <v>112</v>
      </c>
      <c r="B74" s="182">
        <f>B73/B72</f>
        <v>0.20073466197222281</v>
      </c>
      <c r="C74" s="179" t="s">
        <v>113</v>
      </c>
    </row>
    <row r="75" spans="1:34">
      <c r="A75" s="178" t="s">
        <v>114</v>
      </c>
      <c r="B75" s="69">
        <f>B15-B16</f>
        <v>263.93897399999997</v>
      </c>
      <c r="C75" s="179" t="s">
        <v>51</v>
      </c>
      <c r="E75" s="183"/>
      <c r="F75" s="184"/>
      <c r="G75" s="55"/>
      <c r="H75" s="69"/>
      <c r="I75" s="69"/>
      <c r="J75" s="69"/>
    </row>
    <row r="76" spans="1:34">
      <c r="A76" s="178" t="s">
        <v>115</v>
      </c>
      <c r="B76" s="69">
        <f>C35</f>
        <v>156.17160000000001</v>
      </c>
      <c r="C76" s="179" t="s">
        <v>83</v>
      </c>
      <c r="E76" s="183"/>
      <c r="F76" s="184"/>
      <c r="G76" s="55"/>
      <c r="H76" s="69"/>
      <c r="I76" s="69"/>
      <c r="J76" s="69"/>
    </row>
    <row r="77" spans="1:34">
      <c r="A77" s="178" t="s">
        <v>176</v>
      </c>
      <c r="B77" s="185">
        <f>Q19</f>
        <v>17.100999999999999</v>
      </c>
      <c r="C77" s="179" t="s">
        <v>79</v>
      </c>
      <c r="E77" s="183"/>
      <c r="F77" s="184"/>
      <c r="H77" s="69"/>
      <c r="I77" s="69"/>
      <c r="J77" s="69"/>
    </row>
    <row r="78" spans="1:34">
      <c r="A78" s="178" t="s">
        <v>116</v>
      </c>
      <c r="B78" s="185">
        <f>R19</f>
        <v>12.91</v>
      </c>
      <c r="C78" s="179" t="s">
        <v>79</v>
      </c>
      <c r="E78" s="183"/>
      <c r="F78" s="184"/>
      <c r="H78" s="69"/>
      <c r="I78" s="69"/>
      <c r="J78" s="69"/>
    </row>
    <row r="79" spans="1:34">
      <c r="A79" s="178" t="s">
        <v>183</v>
      </c>
      <c r="B79" s="182">
        <f>H21</f>
        <v>0.3</v>
      </c>
      <c r="C79" s="179"/>
      <c r="F79" s="184"/>
      <c r="H79" s="69"/>
      <c r="I79" s="69"/>
      <c r="J79" s="69"/>
    </row>
    <row r="80" spans="1:34">
      <c r="A80" s="178" t="s">
        <v>184</v>
      </c>
      <c r="B80" s="52">
        <f>1-(B79)</f>
        <v>0.7</v>
      </c>
      <c r="C80" s="179"/>
      <c r="F80" s="52"/>
      <c r="H80" s="69"/>
      <c r="I80" s="69"/>
      <c r="J80" s="69"/>
    </row>
    <row r="81" spans="1:10">
      <c r="A81" s="178" t="s">
        <v>117</v>
      </c>
      <c r="B81" s="186">
        <f>B79*B76*(C28+C30)</f>
        <v>12.294311969528174</v>
      </c>
      <c r="C81" s="179" t="s">
        <v>118</v>
      </c>
      <c r="F81" s="52"/>
      <c r="H81" s="69"/>
      <c r="I81" s="69"/>
      <c r="J81" s="69"/>
    </row>
    <row r="82" spans="1:10">
      <c r="A82" s="178" t="s">
        <v>119</v>
      </c>
      <c r="B82" s="186">
        <f>B80*B76*E30</f>
        <v>8.6472214919999999</v>
      </c>
      <c r="C82" s="179" t="s">
        <v>118</v>
      </c>
      <c r="F82" s="52"/>
      <c r="H82" s="69"/>
      <c r="I82" s="69"/>
      <c r="J82" s="69"/>
    </row>
    <row r="83" spans="1:10">
      <c r="A83" s="178" t="s">
        <v>120</v>
      </c>
      <c r="B83" s="187">
        <f>B81+B82</f>
        <v>20.941533461528174</v>
      </c>
      <c r="C83" s="179" t="s">
        <v>118</v>
      </c>
      <c r="F83" s="52"/>
      <c r="G83" s="186"/>
      <c r="H83" s="69"/>
      <c r="I83" s="69"/>
      <c r="J83" s="69"/>
    </row>
    <row r="84" spans="1:10">
      <c r="A84" s="178" t="s">
        <v>121</v>
      </c>
      <c r="B84" s="187">
        <f>E47</f>
        <v>3003.2993999999999</v>
      </c>
      <c r="C84" s="179" t="s">
        <v>118</v>
      </c>
      <c r="H84" s="69"/>
      <c r="I84" s="69"/>
      <c r="J84" s="69"/>
    </row>
    <row r="85" spans="1:10">
      <c r="A85" s="178" t="s">
        <v>122</v>
      </c>
      <c r="B85" s="187">
        <f>B83-B84</f>
        <v>-2982.3578665384716</v>
      </c>
      <c r="C85" s="179" t="s">
        <v>118</v>
      </c>
      <c r="H85" s="69"/>
      <c r="I85" s="69"/>
      <c r="J85" s="69"/>
    </row>
    <row r="86" spans="1:10">
      <c r="A86" s="178" t="s">
        <v>178</v>
      </c>
      <c r="B86" s="187">
        <f>B75/B85</f>
        <v>-8.8500101534208425E-2</v>
      </c>
      <c r="C86" s="179" t="s">
        <v>65</v>
      </c>
      <c r="H86" s="182"/>
      <c r="I86" s="182"/>
      <c r="J86" s="188"/>
    </row>
    <row r="87" spans="1:10">
      <c r="A87" s="189" t="str">
        <f>A49</f>
        <v>EBITDA [Ergebnis vor Zinsen, Steuern und Abschreibungen]</v>
      </c>
      <c r="B87" s="69">
        <f>C49</f>
        <v>-3167.5419873511569</v>
      </c>
      <c r="C87" s="179" t="s">
        <v>118</v>
      </c>
      <c r="H87" s="69"/>
      <c r="I87" s="69"/>
      <c r="J87" s="69"/>
    </row>
    <row r="88" spans="1:10">
      <c r="A88" s="189" t="str">
        <f>A50</f>
        <v>Abschreibung (linear 20 Jahre)</v>
      </c>
      <c r="B88" s="69">
        <f>C50</f>
        <v>8.7979658000000018</v>
      </c>
      <c r="C88" s="179" t="s">
        <v>118</v>
      </c>
      <c r="H88" s="69"/>
      <c r="I88" s="69"/>
      <c r="J88" s="69"/>
    </row>
    <row r="89" spans="1:10">
      <c r="A89" s="189" t="str">
        <f>A57</f>
        <v>Nettogewinn pro Jahr über die Lebensdauer 30 Jahre</v>
      </c>
      <c r="B89" s="69">
        <f>C57</f>
        <v>-3218.6679660592795</v>
      </c>
      <c r="C89" s="179" t="s">
        <v>118</v>
      </c>
      <c r="H89" s="190"/>
      <c r="I89" s="190"/>
      <c r="J89" s="188"/>
    </row>
    <row r="90" spans="1:10">
      <c r="A90" s="189" t="str">
        <f>A59</f>
        <v>Schätzung IRR i(nternal rate of return) 
gemessen am Eigenkapital</v>
      </c>
      <c r="B90" s="191">
        <f>C59</f>
        <v>-40.649143465252692</v>
      </c>
      <c r="H90" s="190"/>
      <c r="I90" s="190"/>
      <c r="J90" s="188"/>
    </row>
    <row r="91" spans="1:10">
      <c r="B91" s="20"/>
      <c r="C91" s="69"/>
      <c r="H91" s="190"/>
      <c r="I91" s="182"/>
      <c r="J91" s="188"/>
    </row>
    <row r="92" spans="1:10">
      <c r="B92" s="20"/>
      <c r="C92" s="69"/>
      <c r="H92" s="182"/>
      <c r="I92" s="190"/>
      <c r="J92" s="188"/>
    </row>
    <row r="93" spans="1:10">
      <c r="B93" s="20"/>
      <c r="C93" s="69"/>
      <c r="H93" s="190"/>
      <c r="I93" s="69"/>
      <c r="J93" s="69"/>
    </row>
    <row r="94" spans="1:10">
      <c r="B94" s="20"/>
      <c r="C94" s="166"/>
      <c r="H94" s="69"/>
      <c r="I94" s="69"/>
      <c r="J94" s="69"/>
    </row>
    <row r="95" spans="1:10">
      <c r="B95" s="20"/>
      <c r="H95" s="69"/>
      <c r="I95" s="69"/>
      <c r="J95" s="69"/>
    </row>
    <row r="96" spans="1:10">
      <c r="B96" s="20"/>
      <c r="H96" s="69"/>
      <c r="I96" s="69"/>
      <c r="J96" s="69"/>
    </row>
    <row r="97" spans="2:10">
      <c r="B97" s="20"/>
      <c r="H97" s="69"/>
      <c r="I97" s="69"/>
      <c r="J97" s="69"/>
    </row>
    <row r="98" spans="2:10">
      <c r="B98" s="20"/>
      <c r="H98" s="69"/>
      <c r="I98" s="69"/>
      <c r="J98" s="69"/>
    </row>
    <row r="99" spans="2:10">
      <c r="B99" s="20"/>
      <c r="H99" s="69"/>
      <c r="I99" s="69"/>
      <c r="J99" s="69"/>
    </row>
    <row r="100" spans="2:10">
      <c r="B100" s="20"/>
      <c r="H100" s="69"/>
      <c r="I100" s="69"/>
      <c r="J100" s="69"/>
    </row>
    <row r="101" spans="2:10">
      <c r="B101" s="20"/>
      <c r="H101" s="69"/>
      <c r="I101" s="69"/>
      <c r="J101" s="69"/>
    </row>
    <row r="102" spans="2:10">
      <c r="B102" s="20"/>
      <c r="H102" s="191"/>
      <c r="I102" s="191"/>
      <c r="J102" s="191"/>
    </row>
    <row r="103" spans="2:10">
      <c r="B103" s="20"/>
      <c r="F103" s="52"/>
      <c r="J103" s="69"/>
    </row>
    <row r="104" spans="2:10">
      <c r="B104" s="20"/>
      <c r="F104" s="52"/>
    </row>
    <row r="105" spans="2:10">
      <c r="B105" s="20"/>
      <c r="E105" s="192" t="s">
        <v>123</v>
      </c>
      <c r="F105" s="52"/>
    </row>
  </sheetData>
  <mergeCells count="13">
    <mergeCell ref="E19:G19"/>
    <mergeCell ref="Q7:R7"/>
    <mergeCell ref="Q8:R8"/>
    <mergeCell ref="Q9:R9"/>
    <mergeCell ref="Q10:R10"/>
    <mergeCell ref="Q11:R11"/>
    <mergeCell ref="Q12:R12"/>
    <mergeCell ref="Q6:R6"/>
    <mergeCell ref="Q2:U2"/>
    <mergeCell ref="V2:Y2"/>
    <mergeCell ref="Q3:R3"/>
    <mergeCell ref="Q4:R4"/>
    <mergeCell ref="Q5:R5"/>
  </mergeCells>
  <hyperlinks>
    <hyperlink ref="T13" r:id="rId1" xr:uid="{86C259D2-26AB-4714-896F-F0B4107B4D48}"/>
    <hyperlink ref="Q16" r:id="rId2" xr:uid="{D0F1228B-EA45-4F04-8F98-B9397F32B976}"/>
    <hyperlink ref="R16" r:id="rId3" location="MapTitle" xr:uid="{541ED1F4-25E2-48A6-BDA7-610ECF4094F0}"/>
  </hyperlinks>
  <printOptions horizontalCentered="1" verticalCentered="1"/>
  <pageMargins left="0.39370078740157483" right="0.39370078740157483" top="0.62992125984251968" bottom="0.62992125984251968" header="0.47244094488188981" footer="0.47244094488188981"/>
  <pageSetup paperSize="9" scale="60" orientation="landscape" r:id="rId4"/>
  <headerFooter>
    <oddHeader>&amp;LADEV Solarstrom AG</oddHeader>
    <oddFooter>&amp;LADEV, Liestal&amp;C&amp;F/&amp;Z&amp;R&amp;D</oddFooter>
  </headerFooter>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92852-750F-4E68-8069-773C37A2A523}">
  <dimension ref="A1"/>
  <sheetViews>
    <sheetView workbookViewId="0"/>
  </sheetViews>
  <sheetFormatPr baseColWidth="10" defaultRowHeight="12.75"/>
  <sheetData/>
  <pageMargins left="0.7" right="0.7" top="0.78740157499999996" bottom="0.78740157499999996"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6" baseType="variant">
      <vt:variant>
        <vt:lpstr>Arbeitsblätter</vt:lpstr>
      </vt:variant>
      <vt:variant>
        <vt:i4>3</vt:i4>
      </vt:variant>
      <vt:variant>
        <vt:lpstr>Diagramme</vt:lpstr>
      </vt:variant>
      <vt:variant>
        <vt:i4>2</vt:i4>
      </vt:variant>
      <vt:variant>
        <vt:lpstr>Benannte Bereiche</vt:lpstr>
      </vt:variant>
      <vt:variant>
        <vt:i4>1</vt:i4>
      </vt:variant>
    </vt:vector>
  </HeadingPairs>
  <TitlesOfParts>
    <vt:vector size="6" baseType="lpstr">
      <vt:lpstr>anleitung</vt:lpstr>
      <vt:lpstr>Planerfolgsrechnung-Muster (G)</vt:lpstr>
      <vt:lpstr>PBO2026</vt:lpstr>
      <vt:lpstr>Diagramm1</vt:lpstr>
      <vt:lpstr>Diagramm2</vt:lpstr>
      <vt:lpstr>'Planerfolgsrechnung-Muster (G)'!Druckbereich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Rudolf Rechsteiner</dc:creator>
  <cp:lastModifiedBy>Rudolf Rechsteiner</cp:lastModifiedBy>
  <dcterms:created xsi:type="dcterms:W3CDTF">2026-09-08T14:07:29Z</dcterms:created>
  <dcterms:modified xsi:type="dcterms:W3CDTF">2026-09-24T08:54:12Z</dcterms:modified>
</cp:coreProperties>
</file>